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9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<sst xmlns="http://schemas.openxmlformats.org/spreadsheetml/2006/main" count="233" uniqueCount="193">
  <si>
    <t>ДЛЯ ОТДЕЛА  СНАБЖЕНИЯ</t>
  </si>
  <si>
    <t xml:space="preserve">ОOО “Металлоптторг -Москва“                                                                                                                        “Metallopttorg-Moscow”,Jsc              </t>
  </si>
  <si>
    <t xml:space="preserve">143002, Московская обл.                                                                                                                                     143002, Moscow region, city                     </t>
  </si>
  <si>
    <t>г. Одинцово, пос. Западный                                                                                                                          of Odintsovo, village of Zapadniy.</t>
  </si>
  <si>
    <t>тел/факс: (495) 789 61 10                                                                                                                                       тел/факс: (495) 789 61 10</t>
  </si>
  <si>
    <t>моб. 8 (903) 006-94-46                                                                                                                                             моб. 8 (903) 006-94-46</t>
  </si>
  <si>
    <t>e-mail: sales4.m@metopt.ru                                               Москва                                                                  e-mail: sales4.m@metopt.ru</t>
  </si>
  <si>
    <t>http://www.metopt.ru                                                                                                        http://www.metopt.ru</t>
  </si>
  <si>
    <t>Офис + склад – г. Одинцово.</t>
  </si>
  <si>
    <t>Наименование</t>
  </si>
  <si>
    <t>Цена с НДС</t>
  </si>
  <si>
    <t>до 1 т.</t>
  </si>
  <si>
    <t>1т.- 5т.</t>
  </si>
  <si>
    <t>от 5 т.</t>
  </si>
  <si>
    <t>1 п/м</t>
  </si>
  <si>
    <t>1 п/м шт</t>
  </si>
  <si>
    <t>АРМАТУРА А-3</t>
  </si>
  <si>
    <t>ШВЕЛЛЕР</t>
  </si>
  <si>
    <t>6 мм          35ГС             дл.6м</t>
  </si>
  <si>
    <t>8У                     ст.3СП         дл.6,0м</t>
  </si>
  <si>
    <t>8 мм           А-500С         дл.11,7м</t>
  </si>
  <si>
    <t>10У                    ст.3СП        дл.9,0м</t>
  </si>
  <si>
    <t>8 мм           З5ГС                 бухта</t>
  </si>
  <si>
    <t>10У                    ст.3СП        н/д</t>
  </si>
  <si>
    <t>10мм           А-500С        дл.11,7м</t>
  </si>
  <si>
    <t>12У                    ст.3СП        дл.6,0м</t>
  </si>
  <si>
    <t>10мм          35ГС            дл.11,7м</t>
  </si>
  <si>
    <t>12У                    ст.3СП        н/д</t>
  </si>
  <si>
    <t>12мм          А-500С         дл.11,7м</t>
  </si>
  <si>
    <t>14П                    ст.3СП      дл.11,7м</t>
  </si>
  <si>
    <t>12мм          А-500С         н/д</t>
  </si>
  <si>
    <t>14П                    ст.3СП      н/д</t>
  </si>
  <si>
    <t>12мм         35ГС             дл.11,7м</t>
  </si>
  <si>
    <t>16П                    ст.3СП      дл.11,7м</t>
  </si>
  <si>
    <t>14мм         35ГС             дл.11,7м</t>
  </si>
  <si>
    <t>16П                    ст.3СП      н/д</t>
  </si>
  <si>
    <t>14мм         А-500С          дл.11,7м</t>
  </si>
  <si>
    <t>20У                    ст.3СП      дл.11,0м</t>
  </si>
  <si>
    <t>14мм         А-500С         н/д</t>
  </si>
  <si>
    <t>27У                    ст.3СП      дл.12,0м</t>
  </si>
  <si>
    <t>16мм         35ГС             дл.11,7м</t>
  </si>
  <si>
    <t>30У                    ст.3СП      дл.12,0м</t>
  </si>
  <si>
    <t>16мм         А-500С          дл.11,7м</t>
  </si>
  <si>
    <t>ТРУБЫ КВАДРАТНЫЕ ЭЛ.СВАРНЫЕ</t>
  </si>
  <si>
    <t>16мм         А-500С          н/д</t>
  </si>
  <si>
    <t>25*25*2                                 дл.6,0м</t>
  </si>
  <si>
    <t>18мм         А-5ООС        дл.11,7м</t>
  </si>
  <si>
    <t>30*30*2                                 дл.6,0м</t>
  </si>
  <si>
    <t>18мм        35ГС              дл.11,7м</t>
  </si>
  <si>
    <t>40*40*2,0                              дл.6,0м</t>
  </si>
  <si>
    <t>18мм        А-500С          н/д</t>
  </si>
  <si>
    <t>60*60*4,0                              дл.6,0м</t>
  </si>
  <si>
    <t>20мм        35ГС              дл.11,7м</t>
  </si>
  <si>
    <t>80*80*4                               дл.12,0м</t>
  </si>
  <si>
    <t>20мм         А-500С          дл.11,7м</t>
  </si>
  <si>
    <t>100*100*4,0                          дл.6,0м</t>
  </si>
  <si>
    <t>20мм         А-500С         н/д</t>
  </si>
  <si>
    <t>120*120*6,0                         дл 12,0м</t>
  </si>
  <si>
    <t>22мм        35ГС              дл.11,7м</t>
  </si>
  <si>
    <t>ТРУБЫ ПРОФИЛЬНЫЕ ЭЛ.СВАРНЫЕ</t>
  </si>
  <si>
    <t>22мм        35ГС              н/д</t>
  </si>
  <si>
    <t>25мм        А-500С          дл.11,7м</t>
  </si>
  <si>
    <t>40*20*1,5                             дл. 6,0м</t>
  </si>
  <si>
    <t>25мм        А-500С          н/д</t>
  </si>
  <si>
    <t>50*25*2,0                             дл.6,0м</t>
  </si>
  <si>
    <t>28мм        35ГС              дл.11,7м</t>
  </si>
  <si>
    <t>50*25*2,0                             дл.10,5м</t>
  </si>
  <si>
    <t>32мм        35ГС              дл.11,7м</t>
  </si>
  <si>
    <t>60*40*3,0                              дл.6,0м</t>
  </si>
  <si>
    <t>ТРУБЫ</t>
  </si>
  <si>
    <t>15х2,8 вгп                             дл.8,5м</t>
  </si>
  <si>
    <t>20х2,8 вгп                             дл.6,0м</t>
  </si>
  <si>
    <t>25х2,8 вгп                           дл.10,0м</t>
  </si>
  <si>
    <t>32х3,2 вгп                           дл.10,0м</t>
  </si>
  <si>
    <t>40х3,5 вгп                           дл.10,0м</t>
  </si>
  <si>
    <t>50х3,5 вгп                           дл.10,0м</t>
  </si>
  <si>
    <t>57х3,5 эл/св                        дл.10,0м</t>
  </si>
  <si>
    <t>76х3,5 эл/св                        дл.10,0м</t>
  </si>
  <si>
    <t>89х3,5 эл/св                        дл.10,0м</t>
  </si>
  <si>
    <t>108х3,5эл/св                       дл.10,0м</t>
  </si>
  <si>
    <t xml:space="preserve">159х4,5эл/св </t>
  </si>
  <si>
    <t>219х6   эл/св</t>
  </si>
  <si>
    <t xml:space="preserve">ЛИСТ </t>
  </si>
  <si>
    <t>Лист 1,5 х/к                      1250х2500</t>
  </si>
  <si>
    <t>Лист 2 г/к                         1250х2500</t>
  </si>
  <si>
    <t>Лист 3 г/к                         1250х2500</t>
  </si>
  <si>
    <t>Лист4 г/к                          1500х6000</t>
  </si>
  <si>
    <t>Лист 6 г/к                         1500х6000</t>
  </si>
  <si>
    <t>Лист 8 г/к                         1500х6000</t>
  </si>
  <si>
    <t>Лист 10 г/к                       1500х6000</t>
  </si>
  <si>
    <t xml:space="preserve"> ПРОВОЛОКА</t>
  </si>
  <si>
    <t>d1,2                                  мотки</t>
  </si>
  <si>
    <t>ПОЛОСА</t>
  </si>
  <si>
    <t xml:space="preserve">40х4                                дл.6,0м </t>
  </si>
  <si>
    <t>МЕДВЕДЕВА ГАЛИНА БОРИСОВНА</t>
  </si>
  <si>
    <t>789-61-61</t>
  </si>
  <si>
    <t>8-903-006-94-46</t>
  </si>
  <si>
    <t xml:space="preserve">Вся металлопродукция  от российского производителя. Сертифицирована. Доставка  автотранспортом поставщика. </t>
  </si>
  <si>
    <r>
      <t>Резка металлопроката</t>
    </r>
    <r>
      <rPr>
        <b/>
        <sz val="10"/>
        <rFont val="Arial Cyr"/>
        <family val="2"/>
      </rPr>
      <t>. Премии снабженцам.</t>
    </r>
  </si>
  <si>
    <r>
      <t>Режим работы: пон.-пят.</t>
    </r>
    <r>
      <rPr>
        <b/>
        <sz val="10"/>
        <rFont val="Arial Cyr"/>
        <family val="2"/>
      </rPr>
      <t xml:space="preserve"> 09:00 – 17:00</t>
    </r>
    <r>
      <rPr>
        <sz val="10"/>
        <rFont val="Arial Cyr"/>
        <family val="2"/>
      </rPr>
      <t>, обед 13:00 – 14:00</t>
    </r>
  </si>
  <si>
    <t xml:space="preserve"> </t>
  </si>
  <si>
    <t xml:space="preserve">ОOО “Металлоптторг -Москва“                                                                       “Metallopttorg-Moscow”,Jsc              </t>
  </si>
  <si>
    <t xml:space="preserve">143002, Московская обл.                                                                                   143002, Moscow region, city                     </t>
  </si>
  <si>
    <t>г. Одинцово, ул. Акуловская, д. 23                                                 of Odintsovo, street of Akulovskaya.23</t>
  </si>
  <si>
    <t>тел/факс: (495)593 50 80;                                                    тел/факс: (495) 789 61 10; 926-39-53</t>
  </si>
  <si>
    <t>Александр 89160392454</t>
  </si>
  <si>
    <t>e-mail: sales.m@metopt.ru                                                                                e-mail: sales.m@metopt.ru</t>
  </si>
  <si>
    <t>Цена</t>
  </si>
  <si>
    <t xml:space="preserve">Цена </t>
  </si>
  <si>
    <t>за1п/м</t>
  </si>
  <si>
    <t>за 1п/м</t>
  </si>
  <si>
    <t>10У                ст.3СП       дл.11,7м</t>
  </si>
  <si>
    <t>8 мм          35ГС             дл.11,7м</t>
  </si>
  <si>
    <t>12У                 ст.3СП        дл.6,0м</t>
  </si>
  <si>
    <t>14У                 ст.3СП      дл.11,7м</t>
  </si>
  <si>
    <t>14П                     ст.3СП      н/д</t>
  </si>
  <si>
    <t>16П                 ст.3СП      дл.11,7м</t>
  </si>
  <si>
    <t>20П                 ст.3СП      дл.11,0м</t>
  </si>
  <si>
    <t>24у                  ст.3СП      дл.12,0м</t>
  </si>
  <si>
    <t>27У                 ст.3СП      дл.12,0м</t>
  </si>
  <si>
    <t>ТРУБА КВАДРАТНАЯ ЭЛ.СВАРНАЯ</t>
  </si>
  <si>
    <t>20*20*1,5                          дл.6,0м</t>
  </si>
  <si>
    <t>25*25*2                             дл.6,0м</t>
  </si>
  <si>
    <t>22мм        А-3 ст35ГС   дл.11,7м</t>
  </si>
  <si>
    <t>30*30*2                             дл.6,0м</t>
  </si>
  <si>
    <t>25мм        А-3 ст35ГС   дл.11,7м</t>
  </si>
  <si>
    <t>40*40*2,0                          дл.6,0м</t>
  </si>
  <si>
    <t>50*50*2,0                          дл.6,0м</t>
  </si>
  <si>
    <t>28мм        А-500С          дл.11,7м</t>
  </si>
  <si>
    <t>60*60*4,0                           дл.6,0м</t>
  </si>
  <si>
    <t>28мм        А-500С          н/д</t>
  </si>
  <si>
    <t>80*80*4                            дл.12,0м</t>
  </si>
  <si>
    <t>32мм        А-500С          дл.11,7м</t>
  </si>
  <si>
    <t>100*100*4,0                       дл.6,0м</t>
  </si>
  <si>
    <t>32мм        А-500С          н/д</t>
  </si>
  <si>
    <t>ТРУБА ПРОФИЛЬНАЯ  ЭЛ.СВАРНАЯ</t>
  </si>
  <si>
    <t>КВАДРАТ</t>
  </si>
  <si>
    <t>40*25*2                               дл. 6,0м</t>
  </si>
  <si>
    <t>10                                       6,0м</t>
  </si>
  <si>
    <t>12                                       6,0м</t>
  </si>
  <si>
    <t>60*40*2,0                              дл.6,0м</t>
  </si>
  <si>
    <t>14                                       6,0м</t>
  </si>
  <si>
    <t xml:space="preserve">ТРУБА </t>
  </si>
  <si>
    <t>КРУГ</t>
  </si>
  <si>
    <t>15х2,8 вгп                        дл.8,5м</t>
  </si>
  <si>
    <t xml:space="preserve">6,5мм       катанка           дл.6,0м  </t>
  </si>
  <si>
    <t>20х2,8 вгп                        дл.6,0м</t>
  </si>
  <si>
    <t>8  мм        катанка           дл.11,7м</t>
  </si>
  <si>
    <t>40х3,5 вгп                       дл.10,0м</t>
  </si>
  <si>
    <t>6,5мм       катанка                бухта</t>
  </si>
  <si>
    <t>50х3,5 вгп                       дл.10,0м</t>
  </si>
  <si>
    <t>8 мм         катанка                бухта</t>
  </si>
  <si>
    <t>57х3,5 эл/св                   дл.10,0м</t>
  </si>
  <si>
    <t>10мм        ст.3СП              дл.11,7м</t>
  </si>
  <si>
    <t>76х3,5 эл/св                   дл.10,0м</t>
  </si>
  <si>
    <t>12мм        ст.3СП            дл.11,7м</t>
  </si>
  <si>
    <t>89х3,5 эл/св                    дл.10,0м</t>
  </si>
  <si>
    <t>14мм        ст.3СП            дл.11,7м</t>
  </si>
  <si>
    <t>108х3,5эл/св                    дл.10,0</t>
  </si>
  <si>
    <t>16мм        ст.3СП            дл.11,7м</t>
  </si>
  <si>
    <t>18мм        ст.3СП            дл.11,7м</t>
  </si>
  <si>
    <t>20мм        ст.3СП            дл.11,7м</t>
  </si>
  <si>
    <t>ЛИСТ</t>
  </si>
  <si>
    <t>УГОЛОК</t>
  </si>
  <si>
    <t>Лист 1,5 х/к                1250х2500</t>
  </si>
  <si>
    <t>25х25х4    ст.3ПС              дл.6,0м</t>
  </si>
  <si>
    <t>Лист 2 г/к                    1250х2500</t>
  </si>
  <si>
    <t>25х25х4    ст.3ПС              н/д</t>
  </si>
  <si>
    <t>Лист 3 г/к                    1250х2500</t>
  </si>
  <si>
    <t>32х32х4    ст.3СП              дл.6,0м</t>
  </si>
  <si>
    <t>Лист4 г/к                     1500х6000</t>
  </si>
  <si>
    <t>32х32х4    ст.3СП             н/д</t>
  </si>
  <si>
    <t>Лист 5 г/к                    1500х6000</t>
  </si>
  <si>
    <t>40х40х4    ст.3ПС            дл.11,7м</t>
  </si>
  <si>
    <t>Лист 6 г/к                    1500х6000</t>
  </si>
  <si>
    <t>40х40х4    ст.3ПС            н/д</t>
  </si>
  <si>
    <t>Лист 8 г/к                     1500х6000</t>
  </si>
  <si>
    <t>50х50х5    ст.3СП         дл.6,0; 9м</t>
  </si>
  <si>
    <t>Лист 10 — 12 г/к         1500х6000</t>
  </si>
  <si>
    <t>50х50х5    ст.3СП            н/д</t>
  </si>
  <si>
    <t>63х63х6    ст.3СП             дл.6,0</t>
  </si>
  <si>
    <t xml:space="preserve">20х4                                дл.6,0м </t>
  </si>
  <si>
    <t>75х75х6    ст.3ПС             дл.6,0</t>
  </si>
  <si>
    <t>75х75х6    ст.3ПС             н/д</t>
  </si>
  <si>
    <t xml:space="preserve">80х6                                дл.6,0м </t>
  </si>
  <si>
    <t>100х100х8 ст.3СП             дл.6,0м</t>
  </si>
  <si>
    <t>100х100х8 ст.3СП             н/д</t>
  </si>
  <si>
    <t>Офис+склад-Одинцово</t>
  </si>
  <si>
    <t xml:space="preserve">Вся металлопродукция  от российского производителя. Сертифицирована.. </t>
  </si>
  <si>
    <t xml:space="preserve"> Осуществляем резку  металлопроката и доставку автотранспортом. </t>
  </si>
  <si>
    <r>
      <t>Режим работы: пон.-чет. 08:30 – 17:30</t>
    </r>
    <r>
      <rPr>
        <sz val="10"/>
        <rFont val="Arial Cyr"/>
        <family val="2"/>
      </rPr>
      <t>, пят. 08:30-16:30</t>
    </r>
  </si>
  <si>
    <t>Цены указанные в прайсе неокончательны и  подлежат дополнительному согласованию</t>
  </si>
  <si>
    <t>По вопросу ассортимента цен и скидок обращайтесь к менеджеру ООО Металлоптторг-Москва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</si>
</sst>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HH:MM"/>
  </numFmts>
  <fonts count="2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i/>
      <sz val="8.5"/>
      <name val="Arial Cyr"/>
      <family val="2"/>
    </font>
    <font>
      <sz val="8.5"/>
      <name val="Arial Cyr"/>
      <family val="2"/>
    </font>
    <font>
      <sz val="10.5"/>
      <name val="Arial Cyr"/>
      <family val="2"/>
    </font>
    <font>
      <b/>
      <sz val="10.5"/>
      <name val="Arial Cyr"/>
      <family val="2"/>
    </font>
    <font>
      <i/>
      <sz val="10.5"/>
      <name val="Arial Cyr"/>
      <family val="2"/>
    </font>
    <font>
      <b/>
      <i/>
      <sz val="8.5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5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9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20" applyNumberFormat="1" applyFill="1" applyBorder="1" applyAlignment="1" applyProtection="1">
      <alignment/>
      <protection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5" fontId="19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7" fillId="0" borderId="0" xfId="0" applyFont="1" applyAlignment="1">
      <alignment horizontal="center"/>
    </xf>
    <xf numFmtId="164" fontId="10" fillId="0" borderId="0" xfId="0" applyFont="1" applyAlignment="1">
      <alignment/>
    </xf>
    <xf numFmtId="165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15" fillId="0" borderId="1" xfId="0" applyNumberFormat="1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/>
    </xf>
    <xf numFmtId="165" fontId="20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left"/>
    </xf>
    <xf numFmtId="164" fontId="15" fillId="0" borderId="0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10" fillId="2" borderId="0" xfId="0" applyFont="1" applyFill="1" applyAlignment="1">
      <alignment/>
    </xf>
    <xf numFmtId="164" fontId="15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22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47625</xdr:rowOff>
    </xdr:from>
    <xdr:to>
      <xdr:col>6</xdr:col>
      <xdr:colOff>1285875</xdr:colOff>
      <xdr:row>5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9075"/>
          <a:ext cx="2590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28575</xdr:rowOff>
    </xdr:from>
    <xdr:to>
      <xdr:col>7</xdr:col>
      <xdr:colOff>942975</xdr:colOff>
      <xdr:row>6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0500"/>
          <a:ext cx="20002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opt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2"/>
  <sheetViews>
    <sheetView workbookViewId="0" topLeftCell="A31">
      <selection activeCell="C42" sqref="C42"/>
    </sheetView>
  </sheetViews>
  <sheetFormatPr defaultColWidth="9.00390625" defaultRowHeight="12.75"/>
  <cols>
    <col min="1" max="1" width="3.125" style="0" customWidth="1"/>
    <col min="2" max="2" width="23.875" style="1" customWidth="1"/>
    <col min="3" max="3" width="6.25390625" style="0" customWidth="1"/>
    <col min="4" max="4" width="6.375" style="0" customWidth="1"/>
    <col min="5" max="5" width="6.25390625" style="0" customWidth="1"/>
    <col min="6" max="6" width="6.125" style="2" customWidth="1"/>
    <col min="7" max="7" width="26.375" style="1" customWidth="1"/>
    <col min="8" max="8" width="6.25390625" style="0" customWidth="1"/>
    <col min="9" max="9" width="6.375" style="0" customWidth="1"/>
    <col min="10" max="10" width="6.25390625" style="0" customWidth="1"/>
    <col min="11" max="11" width="8.00390625" style="3" customWidth="1"/>
  </cols>
  <sheetData>
    <row r="1" spans="2:11" ht="13.5">
      <c r="B1" s="4" t="s">
        <v>0</v>
      </c>
      <c r="C1" s="4"/>
      <c r="D1" s="4"/>
      <c r="E1" s="4"/>
      <c r="F1" s="4"/>
      <c r="G1" s="4"/>
      <c r="H1" s="4"/>
      <c r="I1" s="4"/>
      <c r="J1" s="4"/>
      <c r="K1" s="5"/>
    </row>
    <row r="2" spans="2:11" ht="13.5">
      <c r="B2" s="6" t="s">
        <v>1</v>
      </c>
      <c r="C2" s="7"/>
      <c r="D2" s="8"/>
      <c r="E2" s="8"/>
      <c r="F2" s="9"/>
      <c r="G2" s="10"/>
      <c r="H2" s="8"/>
      <c r="I2" s="8"/>
      <c r="J2" s="8"/>
      <c r="K2" s="5"/>
    </row>
    <row r="3" spans="2:11" ht="13.5">
      <c r="B3" s="6" t="s">
        <v>2</v>
      </c>
      <c r="C3" s="7"/>
      <c r="D3" s="8"/>
      <c r="E3" s="8"/>
      <c r="F3" s="9"/>
      <c r="G3" s="10"/>
      <c r="H3" s="8"/>
      <c r="I3" s="8"/>
      <c r="J3" s="8"/>
      <c r="K3" s="5"/>
    </row>
    <row r="4" spans="2:11" ht="13.5">
      <c r="B4" s="6" t="s">
        <v>3</v>
      </c>
      <c r="C4" s="7"/>
      <c r="D4" s="8"/>
      <c r="E4" s="8"/>
      <c r="F4" s="9"/>
      <c r="G4" s="10"/>
      <c r="H4" s="8"/>
      <c r="I4" s="8"/>
      <c r="J4" s="8"/>
      <c r="K4" s="5"/>
    </row>
    <row r="5" spans="2:11" ht="13.5">
      <c r="B5" s="6" t="s">
        <v>4</v>
      </c>
      <c r="C5" s="7"/>
      <c r="D5" s="8"/>
      <c r="E5" s="8"/>
      <c r="F5" s="9"/>
      <c r="G5" s="10"/>
      <c r="H5" s="8"/>
      <c r="I5" s="8"/>
      <c r="J5" s="8"/>
      <c r="K5" s="5"/>
    </row>
    <row r="6" spans="2:11" ht="13.5">
      <c r="B6" s="6" t="s">
        <v>5</v>
      </c>
      <c r="C6" s="7"/>
      <c r="D6" s="8"/>
      <c r="E6" s="8"/>
      <c r="F6" s="9"/>
      <c r="G6" s="10"/>
      <c r="H6" s="8"/>
      <c r="I6" s="8"/>
      <c r="J6" s="8"/>
      <c r="K6" s="5"/>
    </row>
    <row r="7" spans="2:11" ht="13.5">
      <c r="B7" s="6" t="s">
        <v>6</v>
      </c>
      <c r="C7" s="7"/>
      <c r="D7" s="8"/>
      <c r="E7" s="8"/>
      <c r="F7" s="9"/>
      <c r="G7" s="10"/>
      <c r="H7" s="8"/>
      <c r="I7" s="8"/>
      <c r="J7" s="8"/>
      <c r="K7" s="5"/>
    </row>
    <row r="8" spans="2:11" ht="13.5">
      <c r="B8" s="11" t="s">
        <v>7</v>
      </c>
      <c r="C8" s="7"/>
      <c r="D8" s="8"/>
      <c r="E8" s="8"/>
      <c r="F8" s="9"/>
      <c r="G8" s="10"/>
      <c r="H8" s="8"/>
      <c r="I8" s="8"/>
      <c r="J8" s="8"/>
      <c r="K8" s="5"/>
    </row>
    <row r="9" spans="2:11" s="12" customFormat="1" ht="12">
      <c r="B9" s="4" t="s">
        <v>8</v>
      </c>
      <c r="C9" s="4"/>
      <c r="D9" s="4"/>
      <c r="E9" s="4"/>
      <c r="F9" s="4"/>
      <c r="G9" s="4"/>
      <c r="H9" s="4"/>
      <c r="I9" s="4"/>
      <c r="J9" s="4"/>
      <c r="K9" s="13"/>
    </row>
    <row r="10" spans="2:11" s="12" customFormat="1" ht="12">
      <c r="B10" s="14" t="s">
        <v>9</v>
      </c>
      <c r="C10" s="15" t="s">
        <v>10</v>
      </c>
      <c r="D10" s="15"/>
      <c r="E10" s="15"/>
      <c r="F10" s="15"/>
      <c r="G10" s="14" t="s">
        <v>9</v>
      </c>
      <c r="H10" s="15" t="s">
        <v>10</v>
      </c>
      <c r="I10" s="15"/>
      <c r="J10" s="15"/>
      <c r="K10" s="15"/>
    </row>
    <row r="11" spans="2:11" s="12" customFormat="1" ht="12">
      <c r="B11" s="14"/>
      <c r="C11" s="16" t="s">
        <v>11</v>
      </c>
      <c r="D11" s="16" t="s">
        <v>12</v>
      </c>
      <c r="E11" s="16" t="s">
        <v>13</v>
      </c>
      <c r="F11" s="17" t="s">
        <v>14</v>
      </c>
      <c r="G11" s="14"/>
      <c r="H11" s="16" t="s">
        <v>11</v>
      </c>
      <c r="I11" s="16" t="s">
        <v>12</v>
      </c>
      <c r="J11" s="16" t="s">
        <v>13</v>
      </c>
      <c r="K11" s="16" t="s">
        <v>15</v>
      </c>
    </row>
    <row r="12" spans="2:11" s="18" customFormat="1" ht="12">
      <c r="B12" s="19" t="s">
        <v>16</v>
      </c>
      <c r="C12" s="19"/>
      <c r="D12" s="19"/>
      <c r="E12" s="19"/>
      <c r="F12" s="19"/>
      <c r="G12" s="19" t="s">
        <v>17</v>
      </c>
      <c r="H12" s="19"/>
      <c r="I12" s="19"/>
      <c r="J12" s="19"/>
      <c r="K12" s="19"/>
    </row>
    <row r="13" spans="2:11" s="18" customFormat="1" ht="12">
      <c r="B13" s="20" t="s">
        <v>18</v>
      </c>
      <c r="C13" s="21">
        <f>E13+3000</f>
        <v>24000</v>
      </c>
      <c r="D13" s="21">
        <f>E13+1000</f>
        <v>22000</v>
      </c>
      <c r="E13" s="21">
        <v>21000</v>
      </c>
      <c r="F13" s="22">
        <f>C13*0.222/1000</f>
        <v>5.328</v>
      </c>
      <c r="G13" s="20" t="s">
        <v>19</v>
      </c>
      <c r="H13" s="21">
        <f>J13+3000</f>
        <v>25000</v>
      </c>
      <c r="I13" s="21">
        <f>J13+1000</f>
        <v>23000</v>
      </c>
      <c r="J13" s="21">
        <v>22000</v>
      </c>
      <c r="K13" s="22">
        <f>H13*7.05/1000</f>
        <v>176.25</v>
      </c>
    </row>
    <row r="14" spans="2:11" s="18" customFormat="1" ht="12">
      <c r="B14" s="20" t="s">
        <v>20</v>
      </c>
      <c r="C14" s="21">
        <f>E14+3000</f>
        <v>25000</v>
      </c>
      <c r="D14" s="21">
        <f>E14+1000</f>
        <v>23000</v>
      </c>
      <c r="E14" s="21">
        <v>22000</v>
      </c>
      <c r="F14" s="22">
        <f>C14*0.395/1000</f>
        <v>9.875</v>
      </c>
      <c r="G14" s="20" t="s">
        <v>21</v>
      </c>
      <c r="H14" s="21">
        <f>J14+3000</f>
        <v>26000</v>
      </c>
      <c r="I14" s="21">
        <f>J14+1000</f>
        <v>24000</v>
      </c>
      <c r="J14" s="21">
        <v>23000</v>
      </c>
      <c r="K14" s="22">
        <f>H14*8.804/1000</f>
        <v>228.904</v>
      </c>
    </row>
    <row r="15" spans="2:11" s="18" customFormat="1" ht="12">
      <c r="B15" s="20" t="s">
        <v>22</v>
      </c>
      <c r="C15" s="21">
        <f>E15+3000</f>
        <v>24000</v>
      </c>
      <c r="D15" s="21">
        <f>E15+1000</f>
        <v>22000</v>
      </c>
      <c r="E15" s="21">
        <v>21000</v>
      </c>
      <c r="F15" s="22"/>
      <c r="G15" s="20" t="s">
        <v>23</v>
      </c>
      <c r="H15" s="21">
        <f>J15+3000</f>
        <v>25000</v>
      </c>
      <c r="I15" s="21">
        <f>J15+1000</f>
        <v>23000</v>
      </c>
      <c r="J15" s="21">
        <v>22000</v>
      </c>
      <c r="K15" s="22">
        <f>H15*8.804/1000</f>
        <v>220.1</v>
      </c>
    </row>
    <row r="16" spans="2:11" s="12" customFormat="1" ht="12">
      <c r="B16" s="20" t="s">
        <v>24</v>
      </c>
      <c r="C16" s="21">
        <f>E16+3000</f>
        <v>25000</v>
      </c>
      <c r="D16" s="21">
        <f>E16+1000</f>
        <v>23000</v>
      </c>
      <c r="E16" s="21">
        <v>22000</v>
      </c>
      <c r="F16" s="22">
        <f>C16*0.617/1000</f>
        <v>15.425</v>
      </c>
      <c r="G16" s="20" t="s">
        <v>25</v>
      </c>
      <c r="H16" s="21">
        <v>30000</v>
      </c>
      <c r="I16" s="21">
        <f>J16+1000</f>
        <v>24000</v>
      </c>
      <c r="J16" s="21">
        <v>23000</v>
      </c>
      <c r="K16" s="22">
        <f>H16*10.712/1000</f>
        <v>321.36</v>
      </c>
    </row>
    <row r="17" spans="2:11" s="12" customFormat="1" ht="12">
      <c r="B17" s="20" t="s">
        <v>26</v>
      </c>
      <c r="C17" s="21">
        <f>E17+3000</f>
        <v>25000</v>
      </c>
      <c r="D17" s="21">
        <f>E17+1000</f>
        <v>23000</v>
      </c>
      <c r="E17" s="21">
        <v>22000</v>
      </c>
      <c r="F17" s="22">
        <f>C17*0.617/1000</f>
        <v>15.425</v>
      </c>
      <c r="G17" s="20" t="s">
        <v>27</v>
      </c>
      <c r="H17" s="21">
        <v>30001</v>
      </c>
      <c r="I17" s="21">
        <f>J17+1000</f>
        <v>23000</v>
      </c>
      <c r="J17" s="21">
        <v>22000</v>
      </c>
      <c r="K17" s="22">
        <f>H17*10.712/1000</f>
        <v>321.370712</v>
      </c>
    </row>
    <row r="18" spans="2:11" s="12" customFormat="1" ht="12">
      <c r="B18" s="20" t="s">
        <v>28</v>
      </c>
      <c r="C18" s="21">
        <f>E18+3000</f>
        <v>24000</v>
      </c>
      <c r="D18" s="21">
        <f>E18+1000</f>
        <v>22000</v>
      </c>
      <c r="E18" s="21">
        <v>21000</v>
      </c>
      <c r="F18" s="22">
        <f>C18*0.888/1000</f>
        <v>21.312</v>
      </c>
      <c r="G18" s="20" t="s">
        <v>29</v>
      </c>
      <c r="H18" s="21">
        <f>J18+3000</f>
        <v>26000</v>
      </c>
      <c r="I18" s="21">
        <f>J18+1000</f>
        <v>24000</v>
      </c>
      <c r="J18" s="21">
        <v>23000</v>
      </c>
      <c r="K18" s="22">
        <f>H18*12.7/1000</f>
        <v>330.2</v>
      </c>
    </row>
    <row r="19" spans="2:11" s="12" customFormat="1" ht="12">
      <c r="B19" s="20" t="s">
        <v>30</v>
      </c>
      <c r="C19" s="21">
        <f>E19+3000</f>
        <v>20500</v>
      </c>
      <c r="D19" s="21">
        <f>E19+1000</f>
        <v>18500</v>
      </c>
      <c r="E19" s="21">
        <v>17500</v>
      </c>
      <c r="F19" s="22">
        <f>C19*0.888/1000</f>
        <v>18.204</v>
      </c>
      <c r="G19" s="20" t="s">
        <v>31</v>
      </c>
      <c r="H19" s="21">
        <f>J19+3000</f>
        <v>25000</v>
      </c>
      <c r="I19" s="21">
        <f>J19+1000</f>
        <v>23000</v>
      </c>
      <c r="J19" s="21">
        <v>22000</v>
      </c>
      <c r="K19" s="22">
        <f>H19*12.7/1000</f>
        <v>317.5</v>
      </c>
    </row>
    <row r="20" spans="2:11" s="12" customFormat="1" ht="12">
      <c r="B20" s="20" t="s">
        <v>32</v>
      </c>
      <c r="C20" s="21">
        <f>E20+3000</f>
        <v>24000</v>
      </c>
      <c r="D20" s="21">
        <f>E20+1000</f>
        <v>22000</v>
      </c>
      <c r="E20" s="21">
        <v>21000</v>
      </c>
      <c r="F20" s="22">
        <f>C20*0.888/1000</f>
        <v>21.312</v>
      </c>
      <c r="G20" s="20" t="s">
        <v>33</v>
      </c>
      <c r="H20" s="21">
        <f>J20+3000</f>
        <v>27000</v>
      </c>
      <c r="I20" s="21">
        <f>J20+1000</f>
        <v>25000</v>
      </c>
      <c r="J20" s="21">
        <v>24000</v>
      </c>
      <c r="K20" s="22">
        <f>H20*14.2/1000</f>
        <v>383.4</v>
      </c>
    </row>
    <row r="21" spans="2:11" s="12" customFormat="1" ht="12">
      <c r="B21" s="20" t="s">
        <v>34</v>
      </c>
      <c r="C21" s="21">
        <f>E21+3000</f>
        <v>23000</v>
      </c>
      <c r="D21" s="21">
        <f>E21+1000</f>
        <v>21000</v>
      </c>
      <c r="E21" s="21">
        <v>20000</v>
      </c>
      <c r="F21" s="22">
        <f>C21*1.21/1000</f>
        <v>27.83</v>
      </c>
      <c r="G21" s="20" t="s">
        <v>35</v>
      </c>
      <c r="H21" s="21">
        <f>J21+3000</f>
        <v>26000</v>
      </c>
      <c r="I21" s="21">
        <f>J21+1000</f>
        <v>24000</v>
      </c>
      <c r="J21" s="21">
        <v>23000</v>
      </c>
      <c r="K21" s="22">
        <f>H21*14.2/1000</f>
        <v>369.2</v>
      </c>
    </row>
    <row r="22" spans="2:11" s="12" customFormat="1" ht="12">
      <c r="B22" s="20" t="s">
        <v>36</v>
      </c>
      <c r="C22" s="21">
        <f>E22+3000</f>
        <v>23000</v>
      </c>
      <c r="D22" s="21">
        <f>E22+1000</f>
        <v>21000</v>
      </c>
      <c r="E22" s="21">
        <v>20000</v>
      </c>
      <c r="F22" s="22">
        <f>C22*1.21/1000</f>
        <v>27.83</v>
      </c>
      <c r="G22" s="20" t="s">
        <v>37</v>
      </c>
      <c r="H22" s="21">
        <f>J22+3000</f>
        <v>27000</v>
      </c>
      <c r="I22" s="21">
        <f>J22+1000</f>
        <v>25000</v>
      </c>
      <c r="J22" s="21">
        <v>24000</v>
      </c>
      <c r="K22" s="22">
        <f>H22*19.5/1000</f>
        <v>526.5</v>
      </c>
    </row>
    <row r="23" spans="2:11" s="12" customFormat="1" ht="12">
      <c r="B23" s="20" t="s">
        <v>38</v>
      </c>
      <c r="C23" s="21">
        <f>E23+3000</f>
        <v>20000</v>
      </c>
      <c r="D23" s="21">
        <f>E23+1000</f>
        <v>18000</v>
      </c>
      <c r="E23" s="21">
        <v>17000</v>
      </c>
      <c r="F23" s="22">
        <f>C23*1.21/1000</f>
        <v>24.2</v>
      </c>
      <c r="G23" s="20" t="s">
        <v>39</v>
      </c>
      <c r="H23" s="21">
        <f>J23+3000</f>
        <v>28500</v>
      </c>
      <c r="I23" s="21">
        <f>J23+1000</f>
        <v>26500</v>
      </c>
      <c r="J23" s="21">
        <v>25500</v>
      </c>
      <c r="K23" s="22">
        <f>H23*27.7/1000</f>
        <v>789.45</v>
      </c>
    </row>
    <row r="24" spans="2:11" s="12" customFormat="1" ht="12">
      <c r="B24" s="20" t="s">
        <v>40</v>
      </c>
      <c r="C24" s="21">
        <f>E24+3000</f>
        <v>23000</v>
      </c>
      <c r="D24" s="21">
        <f>E24+1000</f>
        <v>21000</v>
      </c>
      <c r="E24" s="21">
        <v>20000</v>
      </c>
      <c r="F24" s="22">
        <f>C24*1.58/1000</f>
        <v>36.34</v>
      </c>
      <c r="G24" s="20" t="s">
        <v>41</v>
      </c>
      <c r="H24" s="21">
        <f>J24+3000</f>
        <v>32000</v>
      </c>
      <c r="I24" s="21">
        <f>J24+1000</f>
        <v>30000</v>
      </c>
      <c r="J24" s="21">
        <v>29000</v>
      </c>
      <c r="K24" s="22">
        <f>H24*31.8/1000</f>
        <v>1017.6</v>
      </c>
    </row>
    <row r="25" spans="2:11" s="12" customFormat="1" ht="12">
      <c r="B25" s="20" t="s">
        <v>42</v>
      </c>
      <c r="C25" s="21">
        <f>E25+3000</f>
        <v>23000</v>
      </c>
      <c r="D25" s="21">
        <f>E25+1000</f>
        <v>21000</v>
      </c>
      <c r="E25" s="21">
        <v>20000</v>
      </c>
      <c r="F25" s="22">
        <f>C25*1.58/1000</f>
        <v>36.34</v>
      </c>
      <c r="G25" s="19" t="s">
        <v>43</v>
      </c>
      <c r="H25" s="19"/>
      <c r="I25" s="19"/>
      <c r="J25" s="19"/>
      <c r="K25" s="19"/>
    </row>
    <row r="26" spans="2:11" s="12" customFormat="1" ht="12">
      <c r="B26" s="20" t="s">
        <v>44</v>
      </c>
      <c r="C26" s="21">
        <f>E26+3000</f>
        <v>20000</v>
      </c>
      <c r="D26" s="21">
        <f>E26+1000</f>
        <v>18000</v>
      </c>
      <c r="E26" s="21">
        <v>17000</v>
      </c>
      <c r="F26" s="22">
        <f>C26*1.58/1000</f>
        <v>31.6</v>
      </c>
      <c r="G26" s="20" t="s">
        <v>45</v>
      </c>
      <c r="H26" s="21">
        <f>J26+3000</f>
        <v>28700</v>
      </c>
      <c r="I26" s="21">
        <f>J26+1000</f>
        <v>26700</v>
      </c>
      <c r="J26" s="21">
        <v>25700</v>
      </c>
      <c r="K26" s="22">
        <f>H26*1.6/1000</f>
        <v>45.92</v>
      </c>
    </row>
    <row r="27" spans="2:11" s="12" customFormat="1" ht="12">
      <c r="B27" s="20" t="s">
        <v>46</v>
      </c>
      <c r="C27" s="21">
        <f>E27+3000</f>
        <v>23000</v>
      </c>
      <c r="D27" s="21">
        <f>E27+1000</f>
        <v>21000</v>
      </c>
      <c r="E27" s="21">
        <v>20000</v>
      </c>
      <c r="F27" s="22">
        <f>C27*2/1000</f>
        <v>46</v>
      </c>
      <c r="G27" s="20" t="s">
        <v>47</v>
      </c>
      <c r="H27" s="21">
        <f>J27+3000</f>
        <v>28700</v>
      </c>
      <c r="I27" s="21">
        <f>J27+1000</f>
        <v>26700</v>
      </c>
      <c r="J27" s="21">
        <v>25700</v>
      </c>
      <c r="K27" s="22">
        <f>H27*1.964/1000</f>
        <v>56.3668</v>
      </c>
    </row>
    <row r="28" spans="2:11" s="12" customFormat="1" ht="12">
      <c r="B28" s="20" t="s">
        <v>48</v>
      </c>
      <c r="C28" s="21">
        <f>E28+3000</f>
        <v>23000</v>
      </c>
      <c r="D28" s="21">
        <f>E28+1000</f>
        <v>21000</v>
      </c>
      <c r="E28" s="21">
        <v>20000</v>
      </c>
      <c r="F28" s="22">
        <f>C28*2/1000</f>
        <v>46</v>
      </c>
      <c r="G28" s="20" t="s">
        <v>49</v>
      </c>
      <c r="H28" s="21">
        <f>J28+3000</f>
        <v>28700</v>
      </c>
      <c r="I28" s="21">
        <f>J28+1000</f>
        <v>26700</v>
      </c>
      <c r="J28" s="21">
        <v>25700</v>
      </c>
      <c r="K28" s="22">
        <f>H28*2.446/1000</f>
        <v>70.20020000000001</v>
      </c>
    </row>
    <row r="29" spans="2:11" s="12" customFormat="1" ht="12">
      <c r="B29" s="20" t="s">
        <v>50</v>
      </c>
      <c r="C29" s="21">
        <f>E29+3000</f>
        <v>20000</v>
      </c>
      <c r="D29" s="21">
        <f>E29+1000</f>
        <v>18000</v>
      </c>
      <c r="E29" s="21">
        <v>17000</v>
      </c>
      <c r="F29" s="22">
        <f>C29*2/1000</f>
        <v>40</v>
      </c>
      <c r="G29" s="20" t="s">
        <v>51</v>
      </c>
      <c r="H29" s="21">
        <f>J29+3000</f>
        <v>29400</v>
      </c>
      <c r="I29" s="21">
        <f>J29+1000</f>
        <v>27400</v>
      </c>
      <c r="J29" s="21">
        <v>26400</v>
      </c>
      <c r="K29" s="22">
        <f>H29*6.82/1000</f>
        <v>200.508</v>
      </c>
    </row>
    <row r="30" spans="2:11" s="12" customFormat="1" ht="12">
      <c r="B30" s="20" t="s">
        <v>52</v>
      </c>
      <c r="C30" s="21">
        <f>E30+3000</f>
        <v>23000</v>
      </c>
      <c r="D30" s="21">
        <f>E30+1000</f>
        <v>21000</v>
      </c>
      <c r="E30" s="21">
        <v>20000</v>
      </c>
      <c r="F30" s="22">
        <f>C30*2.47/1000</f>
        <v>56.81000000000001</v>
      </c>
      <c r="G30" s="20" t="s">
        <v>53</v>
      </c>
      <c r="H30" s="21">
        <f>J30+3000</f>
        <v>28900</v>
      </c>
      <c r="I30" s="21">
        <f>J30+1000</f>
        <v>26900</v>
      </c>
      <c r="J30" s="21">
        <v>25900</v>
      </c>
      <c r="K30" s="22">
        <f>H30*9.889/1000</f>
        <v>285.7921</v>
      </c>
    </row>
    <row r="31" spans="2:11" s="12" customFormat="1" ht="12">
      <c r="B31" s="20" t="s">
        <v>54</v>
      </c>
      <c r="C31" s="21">
        <f>E31+3000</f>
        <v>23000</v>
      </c>
      <c r="D31" s="21">
        <f>E31+1000</f>
        <v>21000</v>
      </c>
      <c r="E31" s="21">
        <v>20000</v>
      </c>
      <c r="F31" s="22">
        <f>C31*2.47/1000</f>
        <v>56.81000000000001</v>
      </c>
      <c r="G31" s="20" t="s">
        <v>55</v>
      </c>
      <c r="H31" s="21">
        <f>J31+3000</f>
        <v>28900</v>
      </c>
      <c r="I31" s="21">
        <f>J31+1000</f>
        <v>26900</v>
      </c>
      <c r="J31" s="21">
        <v>25900</v>
      </c>
      <c r="K31" s="22">
        <f>H31*11.833/1000</f>
        <v>341.9737</v>
      </c>
    </row>
    <row r="32" spans="2:11" s="12" customFormat="1" ht="12">
      <c r="B32" s="20" t="s">
        <v>56</v>
      </c>
      <c r="C32" s="21">
        <f>E32+3000</f>
        <v>20000</v>
      </c>
      <c r="D32" s="21">
        <f>E32+1000</f>
        <v>18000</v>
      </c>
      <c r="E32" s="21">
        <v>17000</v>
      </c>
      <c r="F32" s="22">
        <f>C32*2.47/1000</f>
        <v>49.400000000000006</v>
      </c>
      <c r="G32" s="20" t="s">
        <v>57</v>
      </c>
      <c r="H32" s="21">
        <v>35000</v>
      </c>
      <c r="I32" s="21">
        <f>J32+1000</f>
        <v>28900</v>
      </c>
      <c r="J32" s="21">
        <v>27900</v>
      </c>
      <c r="K32" s="22">
        <f>H32*21.62/1000</f>
        <v>756.7</v>
      </c>
    </row>
    <row r="33" spans="2:11" s="12" customFormat="1" ht="12">
      <c r="B33" s="20" t="s">
        <v>58</v>
      </c>
      <c r="C33" s="21">
        <f>E33+3000</f>
        <v>23000</v>
      </c>
      <c r="D33" s="21">
        <f>E33+1000</f>
        <v>21000</v>
      </c>
      <c r="E33" s="21">
        <v>20000</v>
      </c>
      <c r="F33" s="22">
        <f>C33*2.98/1000</f>
        <v>68.54</v>
      </c>
      <c r="G33" s="19" t="s">
        <v>59</v>
      </c>
      <c r="H33" s="19"/>
      <c r="I33" s="19"/>
      <c r="J33" s="19"/>
      <c r="K33" s="19">
        <f>H33*31.8/1000</f>
        <v>0</v>
      </c>
    </row>
    <row r="34" spans="2:11" s="12" customFormat="1" ht="12">
      <c r="B34" s="20" t="s">
        <v>60</v>
      </c>
      <c r="C34" s="21">
        <f>E34+3000</f>
        <v>20000</v>
      </c>
      <c r="D34" s="21">
        <f>E34+1000</f>
        <v>18000</v>
      </c>
      <c r="E34" s="21">
        <v>17000</v>
      </c>
      <c r="F34" s="22">
        <f>C34*2.98/1000</f>
        <v>59.6</v>
      </c>
      <c r="G34" s="19"/>
      <c r="H34" s="23"/>
      <c r="I34" s="23"/>
      <c r="J34" s="23"/>
      <c r="K34" s="22"/>
    </row>
    <row r="35" spans="2:11" s="12" customFormat="1" ht="12">
      <c r="B35" s="20" t="s">
        <v>61</v>
      </c>
      <c r="C35" s="21">
        <f>E35+3000</f>
        <v>23000</v>
      </c>
      <c r="D35" s="21">
        <f>E35+1000</f>
        <v>21000</v>
      </c>
      <c r="E35" s="21">
        <v>20000</v>
      </c>
      <c r="F35" s="22">
        <f>C35*3.85/1000</f>
        <v>88.55</v>
      </c>
      <c r="G35" s="20" t="s">
        <v>62</v>
      </c>
      <c r="H35" s="21">
        <f>J35+3000</f>
        <v>29900</v>
      </c>
      <c r="I35" s="21">
        <f>J35+1000</f>
        <v>27900</v>
      </c>
      <c r="J35" s="21">
        <v>26900</v>
      </c>
      <c r="K35" s="22">
        <f>H35*1.401/1000</f>
        <v>41.889900000000004</v>
      </c>
    </row>
    <row r="36" spans="2:11" s="12" customFormat="1" ht="12">
      <c r="B36" s="20" t="s">
        <v>63</v>
      </c>
      <c r="C36" s="21">
        <f>E36+3000</f>
        <v>20000</v>
      </c>
      <c r="D36" s="21">
        <f>E36+1000</f>
        <v>18000</v>
      </c>
      <c r="E36" s="21">
        <v>17000</v>
      </c>
      <c r="F36" s="22">
        <f>C36*3.85/1000</f>
        <v>77</v>
      </c>
      <c r="G36" s="20" t="s">
        <v>64</v>
      </c>
      <c r="H36" s="21">
        <f>J36+3000</f>
        <v>28700</v>
      </c>
      <c r="I36" s="21">
        <f>J36+1000</f>
        <v>26700</v>
      </c>
      <c r="J36" s="21">
        <v>25700</v>
      </c>
      <c r="K36" s="22">
        <f>H36*2.473/1000</f>
        <v>70.9751</v>
      </c>
    </row>
    <row r="37" spans="2:11" s="12" customFormat="1" ht="12">
      <c r="B37" s="20" t="s">
        <v>65</v>
      </c>
      <c r="C37" s="21">
        <f>E37+3000</f>
        <v>23000</v>
      </c>
      <c r="D37" s="21">
        <f>E37+1000</f>
        <v>21000</v>
      </c>
      <c r="E37" s="21">
        <v>20000</v>
      </c>
      <c r="F37" s="22">
        <f>C37*4.83/1000</f>
        <v>111.09</v>
      </c>
      <c r="G37" s="20" t="s">
        <v>66</v>
      </c>
      <c r="H37" s="21">
        <f>J37+3000</f>
        <v>28700</v>
      </c>
      <c r="I37" s="21">
        <f>J37+1000</f>
        <v>26700</v>
      </c>
      <c r="J37" s="21">
        <v>25700</v>
      </c>
      <c r="K37" s="22">
        <f>H37*2.473/1000</f>
        <v>70.9751</v>
      </c>
    </row>
    <row r="38" spans="2:11" s="12" customFormat="1" ht="12">
      <c r="B38" s="20" t="s">
        <v>67</v>
      </c>
      <c r="C38" s="21">
        <f>E38+3000</f>
        <v>23000</v>
      </c>
      <c r="D38" s="21">
        <f>E38+1000</f>
        <v>21000</v>
      </c>
      <c r="E38" s="21">
        <v>20000</v>
      </c>
      <c r="F38" s="22">
        <f>C38*6.31/1000</f>
        <v>145.13</v>
      </c>
      <c r="G38" s="20" t="s">
        <v>68</v>
      </c>
      <c r="H38" s="21">
        <f>J38+3000</f>
        <v>28100</v>
      </c>
      <c r="I38" s="21">
        <f>J38+1000</f>
        <v>26100</v>
      </c>
      <c r="J38" s="21">
        <v>25100</v>
      </c>
      <c r="K38" s="22">
        <f>H38*6.82/1000</f>
        <v>191.642</v>
      </c>
    </row>
    <row r="39" spans="2:11" s="12" customFormat="1" ht="13.5">
      <c r="B39"/>
      <c r="C39"/>
      <c r="D39"/>
      <c r="E39"/>
      <c r="F39"/>
      <c r="G39" s="19" t="s">
        <v>69</v>
      </c>
      <c r="H39" s="19"/>
      <c r="I39" s="19"/>
      <c r="J39" s="19"/>
      <c r="K39" s="19"/>
    </row>
    <row r="40" spans="2:11" s="12" customFormat="1" ht="13.5">
      <c r="B40"/>
      <c r="C40"/>
      <c r="D40"/>
      <c r="E40"/>
      <c r="F40"/>
      <c r="G40" s="20" t="s">
        <v>70</v>
      </c>
      <c r="H40" s="21">
        <f>J40+3000</f>
        <v>27100</v>
      </c>
      <c r="I40" s="21">
        <f>J40+1000</f>
        <v>25100</v>
      </c>
      <c r="J40" s="21">
        <v>24100</v>
      </c>
      <c r="K40" s="22">
        <f>H40*1.384/1000</f>
        <v>37.50639999999999</v>
      </c>
    </row>
    <row r="41" spans="2:11" s="12" customFormat="1" ht="13.5">
      <c r="B41"/>
      <c r="C41"/>
      <c r="D41"/>
      <c r="E41"/>
      <c r="F41"/>
      <c r="G41" s="20" t="s">
        <v>71</v>
      </c>
      <c r="H41" s="21">
        <f>J41+3000</f>
        <v>27100</v>
      </c>
      <c r="I41" s="21">
        <f>J41+1000</f>
        <v>25100</v>
      </c>
      <c r="J41" s="21">
        <v>24100</v>
      </c>
      <c r="K41" s="22">
        <f>H41*1.992/1000</f>
        <v>53.9832</v>
      </c>
    </row>
    <row r="42" spans="2:11" s="12" customFormat="1" ht="13.5">
      <c r="B42"/>
      <c r="C42"/>
      <c r="D42"/>
      <c r="E42"/>
      <c r="F42"/>
      <c r="G42" s="20" t="s">
        <v>72</v>
      </c>
      <c r="H42" s="21">
        <f>J42+3000</f>
        <v>26200</v>
      </c>
      <c r="I42" s="21">
        <f>J42+1000</f>
        <v>24200</v>
      </c>
      <c r="J42" s="21">
        <v>23200</v>
      </c>
      <c r="K42" s="22">
        <f>H42*2.311/1000</f>
        <v>60.548199999999994</v>
      </c>
    </row>
    <row r="43" spans="2:11" s="12" customFormat="1" ht="13.5">
      <c r="B43"/>
      <c r="C43"/>
      <c r="D43"/>
      <c r="E43"/>
      <c r="F43"/>
      <c r="G43" s="20" t="s">
        <v>73</v>
      </c>
      <c r="H43" s="21">
        <f>J43+3000</f>
        <v>26000</v>
      </c>
      <c r="I43" s="21">
        <f>J43+1000</f>
        <v>24000</v>
      </c>
      <c r="J43" s="21">
        <v>23000</v>
      </c>
      <c r="K43" s="22">
        <f>H43*3.306/1000</f>
        <v>85.956</v>
      </c>
    </row>
    <row r="44" spans="2:11" s="12" customFormat="1" ht="13.5">
      <c r="B44"/>
      <c r="C44"/>
      <c r="D44"/>
      <c r="E44"/>
      <c r="F44"/>
      <c r="G44" s="20" t="s">
        <v>74</v>
      </c>
      <c r="H44" s="21">
        <f>J44+3000</f>
        <v>26000</v>
      </c>
      <c r="I44" s="21">
        <f>J44+1000</f>
        <v>24000</v>
      </c>
      <c r="J44" s="21">
        <v>23000</v>
      </c>
      <c r="K44" s="22">
        <f>H44*4.07/1000</f>
        <v>105.82000000000002</v>
      </c>
    </row>
    <row r="45" spans="2:11" s="12" customFormat="1" ht="13.5">
      <c r="B45"/>
      <c r="C45"/>
      <c r="D45"/>
      <c r="E45"/>
      <c r="F45"/>
      <c r="G45" s="20" t="s">
        <v>75</v>
      </c>
      <c r="H45" s="21">
        <f>J45+3000</f>
        <v>26000</v>
      </c>
      <c r="I45" s="21">
        <f>J45+1000</f>
        <v>24000</v>
      </c>
      <c r="J45" s="21">
        <v>23000</v>
      </c>
      <c r="K45" s="22">
        <f>H45*5.222/1000</f>
        <v>135.772</v>
      </c>
    </row>
    <row r="46" spans="2:11" s="12" customFormat="1" ht="13.5">
      <c r="B46"/>
      <c r="C46"/>
      <c r="D46"/>
      <c r="E46"/>
      <c r="F46"/>
      <c r="G46" s="20" t="s">
        <v>76</v>
      </c>
      <c r="H46" s="21">
        <f>J46+3000</f>
        <v>26000</v>
      </c>
      <c r="I46" s="21">
        <f>J46+1000</f>
        <v>24000</v>
      </c>
      <c r="J46" s="21">
        <v>23000</v>
      </c>
      <c r="K46" s="22">
        <f>H46*4.943/1000</f>
        <v>128.51799999999997</v>
      </c>
    </row>
    <row r="47" spans="2:11" s="12" customFormat="1" ht="13.5">
      <c r="B47"/>
      <c r="C47"/>
      <c r="D47"/>
      <c r="E47"/>
      <c r="F47"/>
      <c r="G47" s="20" t="s">
        <v>77</v>
      </c>
      <c r="H47" s="21">
        <f>J47+3000</f>
        <v>26000</v>
      </c>
      <c r="I47" s="21">
        <f>J47+1000</f>
        <v>24000</v>
      </c>
      <c r="J47" s="21">
        <v>23000</v>
      </c>
      <c r="K47" s="22">
        <f>H47*6.636/1000</f>
        <v>172.536</v>
      </c>
    </row>
    <row r="48" spans="2:11" s="12" customFormat="1" ht="13.5">
      <c r="B48"/>
      <c r="C48"/>
      <c r="D48"/>
      <c r="E48"/>
      <c r="F48"/>
      <c r="G48" s="20" t="s">
        <v>78</v>
      </c>
      <c r="H48" s="21">
        <f>J48+3000</f>
        <v>26500</v>
      </c>
      <c r="I48" s="21">
        <f>J48+1000</f>
        <v>24500</v>
      </c>
      <c r="J48" s="21">
        <v>23500</v>
      </c>
      <c r="K48" s="22">
        <f>H48*7.897/1000</f>
        <v>209.2705</v>
      </c>
    </row>
    <row r="49" spans="2:11" s="12" customFormat="1" ht="13.5">
      <c r="B49"/>
      <c r="C49"/>
      <c r="D49"/>
      <c r="E49"/>
      <c r="F49"/>
      <c r="G49" s="20" t="s">
        <v>79</v>
      </c>
      <c r="H49" s="21">
        <f>J49+3000</f>
        <v>26500</v>
      </c>
      <c r="I49" s="21">
        <f>J49+1000</f>
        <v>24500</v>
      </c>
      <c r="J49" s="21">
        <v>23500</v>
      </c>
      <c r="K49" s="22">
        <f>H49*9.471/1000</f>
        <v>250.9815</v>
      </c>
    </row>
    <row r="50" spans="2:11" s="12" customFormat="1" ht="13.5">
      <c r="B50"/>
      <c r="C50"/>
      <c r="D50"/>
      <c r="E50"/>
      <c r="F50"/>
      <c r="G50" s="20" t="s">
        <v>80</v>
      </c>
      <c r="H50" s="21">
        <f>J50+3000</f>
        <v>26500</v>
      </c>
      <c r="I50" s="21">
        <f>J50+1000</f>
        <v>24500</v>
      </c>
      <c r="J50" s="21">
        <v>23500</v>
      </c>
      <c r="K50" s="22">
        <f>H50*17.493/1000</f>
        <v>463.56449999999995</v>
      </c>
    </row>
    <row r="51" spans="2:11" s="12" customFormat="1" ht="13.5">
      <c r="B51"/>
      <c r="C51"/>
      <c r="D51"/>
      <c r="E51"/>
      <c r="F51"/>
      <c r="G51" s="20" t="s">
        <v>81</v>
      </c>
      <c r="H51" s="21">
        <f>J51+3000</f>
        <v>30000</v>
      </c>
      <c r="I51" s="21">
        <f>J51+1000</f>
        <v>28000</v>
      </c>
      <c r="J51" s="21">
        <v>27000</v>
      </c>
      <c r="K51" s="22">
        <f>H51*32.213/1000</f>
        <v>966.39</v>
      </c>
    </row>
    <row r="52" spans="2:11" s="12" customFormat="1" ht="13.5">
      <c r="B52"/>
      <c r="C52"/>
      <c r="D52"/>
      <c r="E52"/>
      <c r="F52"/>
      <c r="G52" s="24" t="s">
        <v>82</v>
      </c>
      <c r="H52" s="24"/>
      <c r="I52" s="24"/>
      <c r="J52" s="24"/>
      <c r="K52" s="24"/>
    </row>
    <row r="53" spans="2:11" s="12" customFormat="1" ht="13.5">
      <c r="B53"/>
      <c r="C53"/>
      <c r="D53"/>
      <c r="E53"/>
      <c r="F53"/>
      <c r="G53" s="25" t="s">
        <v>83</v>
      </c>
      <c r="H53" s="21">
        <f>J53+3000</f>
        <v>25000</v>
      </c>
      <c r="I53" s="21">
        <f>J53+1000</f>
        <v>23000</v>
      </c>
      <c r="J53" s="21">
        <v>22000</v>
      </c>
      <c r="K53" s="22">
        <f>H53*0.037</f>
        <v>925</v>
      </c>
    </row>
    <row r="54" spans="2:11" s="12" customFormat="1" ht="13.5">
      <c r="B54"/>
      <c r="C54"/>
      <c r="D54"/>
      <c r="E54"/>
      <c r="F54"/>
      <c r="G54" s="25" t="s">
        <v>84</v>
      </c>
      <c r="H54" s="21">
        <f>J54+3000</f>
        <v>24000</v>
      </c>
      <c r="I54" s="21">
        <f>J54+1000</f>
        <v>22000</v>
      </c>
      <c r="J54" s="21">
        <v>21000</v>
      </c>
      <c r="K54" s="22">
        <f>H54*0.05</f>
        <v>1200</v>
      </c>
    </row>
    <row r="55" spans="2:11" s="12" customFormat="1" ht="13.5">
      <c r="B55"/>
      <c r="C55"/>
      <c r="D55"/>
      <c r="E55"/>
      <c r="F55"/>
      <c r="G55" s="25" t="s">
        <v>85</v>
      </c>
      <c r="H55" s="21">
        <f>J55+3000</f>
        <v>24000</v>
      </c>
      <c r="I55" s="21">
        <f>J55+1000</f>
        <v>22000</v>
      </c>
      <c r="J55" s="21">
        <v>21000</v>
      </c>
      <c r="K55" s="22">
        <f>H55*0.075</f>
        <v>1800</v>
      </c>
    </row>
    <row r="56" spans="2:11" s="12" customFormat="1" ht="13.5">
      <c r="B56"/>
      <c r="C56"/>
      <c r="D56"/>
      <c r="E56"/>
      <c r="F56"/>
      <c r="G56" s="25" t="s">
        <v>86</v>
      </c>
      <c r="H56" s="21">
        <f>J56+3000</f>
        <v>24000</v>
      </c>
      <c r="I56" s="21">
        <f>J56+1000</f>
        <v>22000</v>
      </c>
      <c r="J56" s="21">
        <v>21000</v>
      </c>
      <c r="K56" s="22">
        <f>H56*0.29</f>
        <v>6959.999999999999</v>
      </c>
    </row>
    <row r="57" spans="2:11" s="12" customFormat="1" ht="13.5">
      <c r="B57"/>
      <c r="C57"/>
      <c r="D57"/>
      <c r="E57"/>
      <c r="F57"/>
      <c r="G57" s="25" t="s">
        <v>87</v>
      </c>
      <c r="H57" s="21">
        <f>J57+3000</f>
        <v>24000</v>
      </c>
      <c r="I57" s="21">
        <f>J57+1000</f>
        <v>22000</v>
      </c>
      <c r="J57" s="21">
        <v>21000</v>
      </c>
      <c r="K57" s="22">
        <f>H57*0.43</f>
        <v>10320</v>
      </c>
    </row>
    <row r="58" spans="2:11" s="12" customFormat="1" ht="13.5">
      <c r="B58"/>
      <c r="C58"/>
      <c r="D58"/>
      <c r="E58"/>
      <c r="F58"/>
      <c r="G58" s="20" t="s">
        <v>88</v>
      </c>
      <c r="H58" s="21">
        <f>J58+3000</f>
        <v>24000</v>
      </c>
      <c r="I58" s="21">
        <f>J58+1000</f>
        <v>22000</v>
      </c>
      <c r="J58" s="21">
        <v>21000</v>
      </c>
      <c r="K58" s="22">
        <f>H58*0.57</f>
        <v>13680.000000000002</v>
      </c>
    </row>
    <row r="59" spans="2:11" s="12" customFormat="1" ht="13.5">
      <c r="B59"/>
      <c r="C59"/>
      <c r="D59"/>
      <c r="E59"/>
      <c r="F59"/>
      <c r="G59" s="20" t="s">
        <v>89</v>
      </c>
      <c r="H59" s="21">
        <f>J59+3000</f>
        <v>24000</v>
      </c>
      <c r="I59" s="21">
        <f>J59+1000</f>
        <v>22000</v>
      </c>
      <c r="J59" s="21">
        <v>21000</v>
      </c>
      <c r="K59" s="22">
        <f>H59*0.71</f>
        <v>17040</v>
      </c>
    </row>
    <row r="60" spans="2:11" s="12" customFormat="1" ht="13.5">
      <c r="B60"/>
      <c r="C60"/>
      <c r="D60"/>
      <c r="E60"/>
      <c r="F60"/>
      <c r="G60" s="19" t="s">
        <v>90</v>
      </c>
      <c r="H60" s="19"/>
      <c r="I60" s="19"/>
      <c r="J60" s="19"/>
      <c r="K60" s="19">
        <f>H60*32.213/1000</f>
        <v>0</v>
      </c>
    </row>
    <row r="61" spans="2:11" s="12" customFormat="1" ht="13.5">
      <c r="B61"/>
      <c r="C61"/>
      <c r="D61"/>
      <c r="E61"/>
      <c r="F61"/>
      <c r="G61" s="26" t="s">
        <v>91</v>
      </c>
      <c r="H61" s="21">
        <v>44000</v>
      </c>
      <c r="I61" s="21">
        <f>J61+1000</f>
        <v>32000</v>
      </c>
      <c r="J61" s="15">
        <v>31000</v>
      </c>
      <c r="K61" s="22">
        <f>H61*0.08</f>
        <v>3520</v>
      </c>
    </row>
    <row r="62" spans="2:11" s="12" customFormat="1" ht="13.5">
      <c r="B62"/>
      <c r="C62"/>
      <c r="D62"/>
      <c r="E62"/>
      <c r="F62"/>
      <c r="G62" s="19" t="s">
        <v>92</v>
      </c>
      <c r="H62" s="19"/>
      <c r="I62" s="19"/>
      <c r="J62" s="19"/>
      <c r="K62" s="19"/>
    </row>
    <row r="63" spans="2:11" s="12" customFormat="1" ht="13.5">
      <c r="B63"/>
      <c r="C63"/>
      <c r="D63"/>
      <c r="E63"/>
      <c r="F63"/>
      <c r="G63" s="20" t="s">
        <v>93</v>
      </c>
      <c r="H63" s="21">
        <f>J63+3000</f>
        <v>26000</v>
      </c>
      <c r="I63" s="21">
        <f>J63+1000</f>
        <v>24000</v>
      </c>
      <c r="J63" s="21">
        <v>23000</v>
      </c>
      <c r="K63" s="22">
        <f>H63*1.26/1000</f>
        <v>32.76</v>
      </c>
    </row>
    <row r="64" spans="2:11" s="12" customFormat="1" ht="13.5">
      <c r="B64"/>
      <c r="C64"/>
      <c r="D64"/>
      <c r="E64"/>
      <c r="F64"/>
      <c r="G64" s="27" t="s">
        <v>94</v>
      </c>
      <c r="H64" s="27"/>
      <c r="I64" s="27"/>
      <c r="J64" s="27"/>
      <c r="K64" s="27"/>
    </row>
    <row r="65" spans="2:11" s="12" customFormat="1" ht="13.5">
      <c r="B65"/>
      <c r="C65"/>
      <c r="D65"/>
      <c r="E65"/>
      <c r="F65"/>
      <c r="G65" s="27"/>
      <c r="H65" s="27"/>
      <c r="I65" s="27"/>
      <c r="J65" s="27"/>
      <c r="K65" s="27"/>
    </row>
    <row r="66" spans="2:11" s="12" customFormat="1" ht="13.5">
      <c r="B66"/>
      <c r="C66"/>
      <c r="D66"/>
      <c r="E66"/>
      <c r="F66"/>
      <c r="G66" s="28" t="s">
        <v>95</v>
      </c>
      <c r="H66" s="28"/>
      <c r="I66" s="28"/>
      <c r="J66" s="28"/>
      <c r="K66" s="28"/>
    </row>
    <row r="67" spans="2:11" s="12" customFormat="1" ht="13.5">
      <c r="B67"/>
      <c r="C67"/>
      <c r="D67"/>
      <c r="E67"/>
      <c r="F67"/>
      <c r="G67" s="29" t="s">
        <v>96</v>
      </c>
      <c r="H67" s="29"/>
      <c r="I67" s="29"/>
      <c r="J67" s="29"/>
      <c r="K67" s="29"/>
    </row>
    <row r="68" spans="2:11" ht="13.5">
      <c r="B68" s="30" t="s">
        <v>97</v>
      </c>
      <c r="C68" s="31"/>
      <c r="D68" s="31"/>
      <c r="E68" s="31"/>
      <c r="F68" s="32"/>
      <c r="G68" s="33"/>
      <c r="H68" s="31"/>
      <c r="I68" s="31"/>
      <c r="J68" s="31"/>
      <c r="K68" s="5"/>
    </row>
    <row r="69" spans="2:11" ht="13.5">
      <c r="B69" s="1" t="s">
        <v>98</v>
      </c>
      <c r="E69" t="s">
        <v>99</v>
      </c>
      <c r="K69" s="5"/>
    </row>
    <row r="70" spans="2:11" s="12" customFormat="1" ht="13.5">
      <c r="B70"/>
      <c r="C70"/>
      <c r="D70"/>
      <c r="E70"/>
      <c r="F70" s="3"/>
      <c r="G70"/>
      <c r="H70"/>
      <c r="I70"/>
      <c r="J70"/>
      <c r="K70" s="3"/>
    </row>
    <row r="71" spans="2:11" s="12" customFormat="1" ht="13.5">
      <c r="B71"/>
      <c r="C71"/>
      <c r="D71"/>
      <c r="E71"/>
      <c r="F71" s="3"/>
      <c r="G71" s="10"/>
      <c r="H71" s="34"/>
      <c r="I71" s="34"/>
      <c r="J71" s="34"/>
      <c r="K71" s="35"/>
    </row>
    <row r="72" spans="2:11" s="12" customFormat="1" ht="13.5">
      <c r="B72"/>
      <c r="C72"/>
      <c r="D72"/>
      <c r="E72"/>
      <c r="F72" s="3"/>
      <c r="G72"/>
      <c r="H72"/>
      <c r="I72"/>
      <c r="J72"/>
      <c r="K72" s="3"/>
    </row>
    <row r="73" spans="2:11" s="12" customFormat="1" ht="13.5">
      <c r="B73"/>
      <c r="C73"/>
      <c r="D73"/>
      <c r="E73"/>
      <c r="F73" s="3"/>
      <c r="G73"/>
      <c r="H73"/>
      <c r="I73"/>
      <c r="J73"/>
      <c r="K73" s="3"/>
    </row>
    <row r="74" spans="2:11" ht="20.25" customHeight="1">
      <c r="B74" s="36"/>
      <c r="C74" s="36"/>
      <c r="D74" s="36"/>
      <c r="E74" s="36"/>
      <c r="F74" s="9"/>
      <c r="K74" s="5"/>
    </row>
    <row r="75" spans="2:6" ht="12" customHeight="1">
      <c r="B75"/>
      <c r="C75" s="37"/>
      <c r="D75" s="37"/>
      <c r="E75" s="37"/>
      <c r="F75" s="9"/>
    </row>
    <row r="76" spans="2:6" ht="7.5" customHeight="1">
      <c r="B76" s="36"/>
      <c r="C76" s="37"/>
      <c r="D76" s="37"/>
      <c r="E76" s="37"/>
      <c r="F76" s="9"/>
    </row>
    <row r="77" spans="2:6" ht="12.75" customHeight="1">
      <c r="B77" s="36"/>
      <c r="C77" s="36"/>
      <c r="D77" s="36"/>
      <c r="E77" s="36"/>
      <c r="F77" s="9"/>
    </row>
    <row r="78" spans="2:7" ht="13.5">
      <c r="B78"/>
      <c r="F78" s="3"/>
      <c r="G78"/>
    </row>
    <row r="79" spans="2:7" ht="13.5">
      <c r="B79"/>
      <c r="F79" s="3"/>
      <c r="G79"/>
    </row>
    <row r="82" ht="13.5">
      <c r="K82" s="5"/>
    </row>
    <row r="89" ht="13.5">
      <c r="K89" s="5"/>
    </row>
    <row r="90" ht="13.5">
      <c r="K90" s="5"/>
    </row>
    <row r="120" ht="15.75">
      <c r="D120" s="38"/>
    </row>
    <row r="121" ht="14.25">
      <c r="D121" s="39"/>
    </row>
    <row r="122" ht="14.25">
      <c r="D122" s="39"/>
    </row>
    <row r="123" ht="14.25">
      <c r="D123" s="39"/>
    </row>
    <row r="124" ht="14.25">
      <c r="D124" s="39"/>
    </row>
    <row r="125" ht="14.25">
      <c r="D125" s="39"/>
    </row>
    <row r="126" ht="14.25">
      <c r="D126" s="39"/>
    </row>
    <row r="127" ht="13.5">
      <c r="D127" s="40"/>
    </row>
    <row r="132" ht="13.5">
      <c r="B132" s="1" t="s">
        <v>100</v>
      </c>
    </row>
  </sheetData>
  <sheetProtection selectLockedCells="1" selectUnlockedCells="1"/>
  <mergeCells count="19">
    <mergeCell ref="B1:J1"/>
    <mergeCell ref="B9:J9"/>
    <mergeCell ref="B10:B11"/>
    <mergeCell ref="C10:F10"/>
    <mergeCell ref="G10:G11"/>
    <mergeCell ref="H10:K10"/>
    <mergeCell ref="B12:F12"/>
    <mergeCell ref="G12:K12"/>
    <mergeCell ref="G25:K25"/>
    <mergeCell ref="G33:K33"/>
    <mergeCell ref="G39:K39"/>
    <mergeCell ref="G52:K52"/>
    <mergeCell ref="G60:K60"/>
    <mergeCell ref="G62:K62"/>
    <mergeCell ref="G64:K65"/>
    <mergeCell ref="G66:K66"/>
    <mergeCell ref="G67:K67"/>
    <mergeCell ref="B74:E74"/>
    <mergeCell ref="B77:E77"/>
  </mergeCells>
  <hyperlinks>
    <hyperlink ref="B8" r:id="rId1" display="http://www.metopt.ru                                                                                                        http://www.metopt.ru"/>
  </hyperlinks>
  <printOptions/>
  <pageMargins left="0" right="0" top="0" bottom="0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tabSelected="1" workbookViewId="0" topLeftCell="A1">
      <selection activeCell="D18" sqref="D18"/>
    </sheetView>
  </sheetViews>
  <sheetFormatPr defaultColWidth="9.00390625" defaultRowHeight="12.75" customHeight="1"/>
  <cols>
    <col min="1" max="1" width="2.625" style="0" customWidth="1"/>
    <col min="2" max="2" width="26.25390625" style="0" customWidth="1"/>
    <col min="3" max="3" width="6.50390625" style="0" customWidth="1"/>
    <col min="4" max="4" width="6.00390625" style="0" customWidth="1"/>
    <col min="5" max="5" width="6.25390625" style="0" customWidth="1"/>
    <col min="6" max="6" width="6.125" style="41" customWidth="1"/>
    <col min="7" max="7" width="1.37890625" style="0" customWidth="1"/>
    <col min="8" max="8" width="24.25390625" style="0" customWidth="1"/>
    <col min="9" max="9" width="6.125" style="0" customWidth="1"/>
    <col min="10" max="10" width="6.25390625" style="0" customWidth="1"/>
    <col min="11" max="11" width="6.00390625" style="0" customWidth="1"/>
    <col min="12" max="12" width="7.125" style="42" customWidth="1"/>
  </cols>
  <sheetData>
    <row r="1" spans="2:12" ht="12.7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s="43" customFormat="1" ht="12.75" customHeight="1">
      <c r="B2" s="44" t="s">
        <v>101</v>
      </c>
      <c r="C2" s="44"/>
      <c r="D2" s="45"/>
      <c r="E2" s="45"/>
      <c r="F2" s="46"/>
      <c r="G2" s="45"/>
      <c r="H2" s="45"/>
      <c r="I2" s="45"/>
      <c r="J2" s="45"/>
      <c r="K2" s="47"/>
      <c r="L2" s="48"/>
    </row>
    <row r="3" spans="2:12" s="43" customFormat="1" ht="12.75" customHeight="1">
      <c r="B3" s="44" t="s">
        <v>102</v>
      </c>
      <c r="C3" s="44"/>
      <c r="D3" s="45"/>
      <c r="E3" s="45"/>
      <c r="F3" s="46"/>
      <c r="G3" s="45"/>
      <c r="H3" s="45"/>
      <c r="I3" s="45"/>
      <c r="J3" s="45"/>
      <c r="K3" s="47"/>
      <c r="L3" s="48"/>
    </row>
    <row r="4" spans="2:12" s="43" customFormat="1" ht="12.75" customHeight="1">
      <c r="B4" s="44" t="s">
        <v>103</v>
      </c>
      <c r="C4" s="44"/>
      <c r="D4" s="45"/>
      <c r="E4" s="45"/>
      <c r="F4" s="46"/>
      <c r="G4" s="45"/>
      <c r="H4" s="45"/>
      <c r="I4" s="45"/>
      <c r="J4" s="45"/>
      <c r="K4" s="47"/>
      <c r="L4" s="48"/>
    </row>
    <row r="5" spans="2:12" s="43" customFormat="1" ht="12.75" customHeight="1">
      <c r="B5" s="44" t="s">
        <v>104</v>
      </c>
      <c r="C5" s="44"/>
      <c r="D5" s="45"/>
      <c r="E5" s="45"/>
      <c r="F5" s="46"/>
      <c r="G5" s="45"/>
      <c r="H5" s="45"/>
      <c r="I5" s="45"/>
      <c r="J5" s="45"/>
      <c r="K5" s="47"/>
      <c r="L5" s="48"/>
    </row>
    <row r="6" spans="2:12" s="43" customFormat="1" ht="12.75" customHeight="1">
      <c r="B6" s="49" t="s">
        <v>105</v>
      </c>
      <c r="C6" s="44"/>
      <c r="D6" s="45"/>
      <c r="E6" s="45"/>
      <c r="F6" s="46"/>
      <c r="G6" s="45"/>
      <c r="H6" s="45"/>
      <c r="I6" s="45"/>
      <c r="J6" s="45"/>
      <c r="K6" s="47"/>
      <c r="L6" s="48"/>
    </row>
    <row r="7" spans="2:12" s="43" customFormat="1" ht="12.75" customHeight="1">
      <c r="B7" s="44" t="s">
        <v>106</v>
      </c>
      <c r="C7" s="44"/>
      <c r="D7" s="45"/>
      <c r="E7" s="45"/>
      <c r="F7" s="46"/>
      <c r="G7" s="45"/>
      <c r="H7" s="45"/>
      <c r="I7" s="45"/>
      <c r="J7" s="45"/>
      <c r="K7" s="47"/>
      <c r="L7" s="48"/>
    </row>
    <row r="8" spans="2:12" s="12" customFormat="1" ht="11.25" customHeight="1">
      <c r="B8" s="14" t="s">
        <v>9</v>
      </c>
      <c r="C8" s="15" t="s">
        <v>10</v>
      </c>
      <c r="D8" s="15"/>
      <c r="E8" s="15"/>
      <c r="F8" s="15"/>
      <c r="G8" s="35"/>
      <c r="H8" s="14" t="s">
        <v>9</v>
      </c>
      <c r="I8" s="15" t="s">
        <v>10</v>
      </c>
      <c r="J8" s="15"/>
      <c r="K8" s="15"/>
      <c r="L8" s="15"/>
    </row>
    <row r="9" spans="2:12" s="12" customFormat="1" ht="11.25" customHeight="1">
      <c r="B9" s="14"/>
      <c r="C9" s="15" t="s">
        <v>11</v>
      </c>
      <c r="D9" s="15" t="s">
        <v>12</v>
      </c>
      <c r="E9" s="15" t="s">
        <v>13</v>
      </c>
      <c r="F9" s="50" t="s">
        <v>107</v>
      </c>
      <c r="G9" s="35"/>
      <c r="H9" s="14"/>
      <c r="I9" s="15" t="s">
        <v>11</v>
      </c>
      <c r="J9" s="15" t="s">
        <v>12</v>
      </c>
      <c r="K9" s="15" t="s">
        <v>13</v>
      </c>
      <c r="L9" s="51" t="s">
        <v>108</v>
      </c>
    </row>
    <row r="10" spans="2:12" s="12" customFormat="1" ht="11.25" customHeight="1">
      <c r="B10" s="14"/>
      <c r="C10" s="15"/>
      <c r="D10" s="15"/>
      <c r="E10" s="15"/>
      <c r="F10" s="50" t="s">
        <v>109</v>
      </c>
      <c r="G10" s="35"/>
      <c r="H10" s="14"/>
      <c r="I10" s="15"/>
      <c r="J10" s="15"/>
      <c r="K10" s="15"/>
      <c r="L10" s="51" t="s">
        <v>110</v>
      </c>
    </row>
    <row r="11" spans="2:12" ht="11.25" customHeight="1">
      <c r="B11" s="19" t="s">
        <v>16</v>
      </c>
      <c r="C11" s="19"/>
      <c r="D11" s="19"/>
      <c r="E11" s="19"/>
      <c r="F11" s="19"/>
      <c r="G11" s="35"/>
      <c r="H11" s="19" t="s">
        <v>17</v>
      </c>
      <c r="I11" s="19"/>
      <c r="J11" s="19"/>
      <c r="K11" s="19"/>
      <c r="L11" s="19"/>
    </row>
    <row r="12" spans="2:12" ht="11.25" customHeight="1">
      <c r="B12" s="20" t="s">
        <v>18</v>
      </c>
      <c r="C12" s="21">
        <f>E12+1000</f>
        <v>30500</v>
      </c>
      <c r="D12" s="21">
        <f>E12+500</f>
        <v>30000</v>
      </c>
      <c r="E12" s="21">
        <v>29500</v>
      </c>
      <c r="F12" s="52">
        <f>C12*0.222/1000</f>
        <v>6.771</v>
      </c>
      <c r="G12" s="35"/>
      <c r="H12" s="20" t="s">
        <v>111</v>
      </c>
      <c r="I12" s="21">
        <f>K12+2000</f>
        <v>30000</v>
      </c>
      <c r="J12" s="21">
        <f>K12+1000</f>
        <v>29000</v>
      </c>
      <c r="K12" s="21">
        <v>28000</v>
      </c>
      <c r="L12" s="52">
        <f>I12*8.804/1000</f>
        <v>264.12</v>
      </c>
    </row>
    <row r="13" spans="2:12" ht="11.25" customHeight="1">
      <c r="B13" s="20" t="s">
        <v>112</v>
      </c>
      <c r="C13" s="21">
        <f>E13+1000</f>
        <v>29300</v>
      </c>
      <c r="D13" s="21">
        <f>E13+500</f>
        <v>28800</v>
      </c>
      <c r="E13" s="21">
        <v>28300</v>
      </c>
      <c r="F13" s="52">
        <f>C13*0.395/1000</f>
        <v>11.5735</v>
      </c>
      <c r="G13" s="35"/>
      <c r="H13" s="20" t="s">
        <v>113</v>
      </c>
      <c r="I13" s="21">
        <f>K13+2000</f>
        <v>30000</v>
      </c>
      <c r="J13" s="21">
        <f>K13+1000</f>
        <v>29000</v>
      </c>
      <c r="K13" s="21">
        <v>28000</v>
      </c>
      <c r="L13" s="52">
        <f>I13*10.712/1000</f>
        <v>321.36</v>
      </c>
    </row>
    <row r="14" spans="2:12" s="12" customFormat="1" ht="11.25" customHeight="1">
      <c r="B14" s="20" t="s">
        <v>24</v>
      </c>
      <c r="C14" s="21">
        <f>E14+1000</f>
        <v>29300</v>
      </c>
      <c r="D14" s="21">
        <f>E14+500</f>
        <v>28800</v>
      </c>
      <c r="E14" s="21">
        <v>28300</v>
      </c>
      <c r="F14" s="52">
        <f>C14*0.617/1000</f>
        <v>18.0781</v>
      </c>
      <c r="G14" s="35"/>
      <c r="H14" s="20" t="s">
        <v>27</v>
      </c>
      <c r="I14" s="21">
        <f>K14+2000</f>
        <v>29500</v>
      </c>
      <c r="J14" s="21">
        <f>K14+1000</f>
        <v>28500</v>
      </c>
      <c r="K14" s="21">
        <v>27500</v>
      </c>
      <c r="L14" s="52">
        <f>I14*10.712/1000</f>
        <v>316.004</v>
      </c>
    </row>
    <row r="15" spans="2:12" ht="11.25" customHeight="1">
      <c r="B15" s="20" t="s">
        <v>28</v>
      </c>
      <c r="C15" s="21">
        <f>E15+1000</f>
        <v>28100</v>
      </c>
      <c r="D15" s="21">
        <f>E15+500</f>
        <v>27600</v>
      </c>
      <c r="E15" s="21">
        <v>27100</v>
      </c>
      <c r="F15" s="52">
        <f>C15*0.888/1000</f>
        <v>24.9528</v>
      </c>
      <c r="G15" s="35"/>
      <c r="H15" s="20" t="s">
        <v>114</v>
      </c>
      <c r="I15" s="21">
        <f>K15+2000</f>
        <v>30000</v>
      </c>
      <c r="J15" s="21">
        <f>K15+1000</f>
        <v>29000</v>
      </c>
      <c r="K15" s="21">
        <v>28000</v>
      </c>
      <c r="L15" s="52">
        <f>I15*12.7/1000</f>
        <v>381</v>
      </c>
    </row>
    <row r="16" spans="2:12" ht="11.25" customHeight="1">
      <c r="B16" s="20" t="s">
        <v>30</v>
      </c>
      <c r="C16" s="21">
        <f>E16+1000</f>
        <v>27200</v>
      </c>
      <c r="D16" s="21">
        <f>E16+500</f>
        <v>26700</v>
      </c>
      <c r="E16" s="21">
        <v>26200</v>
      </c>
      <c r="F16" s="52">
        <f>C16*0.888/1000</f>
        <v>24.153599999999997</v>
      </c>
      <c r="G16" s="35"/>
      <c r="H16" s="20" t="s">
        <v>115</v>
      </c>
      <c r="I16" s="21">
        <f>K16+2000</f>
        <v>30000</v>
      </c>
      <c r="J16" s="21">
        <f>K16+1000</f>
        <v>29000</v>
      </c>
      <c r="K16" s="21">
        <v>28000</v>
      </c>
      <c r="L16" s="52">
        <f>I16*12.7/1000</f>
        <v>381</v>
      </c>
    </row>
    <row r="17" spans="2:12" ht="11.25" customHeight="1">
      <c r="B17" s="20" t="s">
        <v>36</v>
      </c>
      <c r="C17" s="21">
        <f>E17+1000</f>
        <v>27600</v>
      </c>
      <c r="D17" s="21">
        <f>E17+500</f>
        <v>27100</v>
      </c>
      <c r="E17" s="21">
        <v>26600</v>
      </c>
      <c r="F17" s="52">
        <f>C17*1.21/1000</f>
        <v>33.396</v>
      </c>
      <c r="G17" s="35"/>
      <c r="H17" s="20" t="s">
        <v>116</v>
      </c>
      <c r="I17" s="21">
        <f>K17+2000</f>
        <v>30000</v>
      </c>
      <c r="J17" s="21">
        <f>K17+1000</f>
        <v>29000</v>
      </c>
      <c r="K17" s="21">
        <v>28000</v>
      </c>
      <c r="L17" s="52">
        <f>I17*14.2/1000</f>
        <v>426</v>
      </c>
    </row>
    <row r="18" spans="2:12" s="12" customFormat="1" ht="11.25" customHeight="1">
      <c r="B18" s="20" t="s">
        <v>38</v>
      </c>
      <c r="C18" s="21">
        <f>E18+1000</f>
        <v>26000</v>
      </c>
      <c r="D18" s="21">
        <f>E18+500</f>
        <v>25500</v>
      </c>
      <c r="E18" s="21">
        <v>25000</v>
      </c>
      <c r="F18" s="52">
        <f>C18*1.21/1000</f>
        <v>31.46</v>
      </c>
      <c r="G18" s="35"/>
      <c r="H18" s="20" t="s">
        <v>35</v>
      </c>
      <c r="I18" s="21">
        <f>K18+2000</f>
        <v>30000</v>
      </c>
      <c r="J18" s="21">
        <f>K18+1000</f>
        <v>29000</v>
      </c>
      <c r="K18" s="21">
        <v>28000</v>
      </c>
      <c r="L18" s="52">
        <f>I18*14.2/1000</f>
        <v>426</v>
      </c>
    </row>
    <row r="19" spans="2:12" s="12" customFormat="1" ht="12.75" customHeight="1">
      <c r="B19" s="20" t="s">
        <v>42</v>
      </c>
      <c r="C19" s="21">
        <f>E19+1000</f>
        <v>27600</v>
      </c>
      <c r="D19" s="21">
        <f>E19+500</f>
        <v>27100</v>
      </c>
      <c r="E19" s="21">
        <v>26600</v>
      </c>
      <c r="F19" s="52">
        <f>C19*1.58/1000</f>
        <v>43.608</v>
      </c>
      <c r="G19" s="35"/>
      <c r="H19" s="20" t="s">
        <v>117</v>
      </c>
      <c r="I19" s="21">
        <f>K19+2000</f>
        <v>32000</v>
      </c>
      <c r="J19" s="21">
        <f>K19+1000</f>
        <v>31000</v>
      </c>
      <c r="K19" s="21">
        <v>30000</v>
      </c>
      <c r="L19" s="52">
        <f>I19*19.5/1000</f>
        <v>624</v>
      </c>
    </row>
    <row r="20" spans="2:12" s="12" customFormat="1" ht="12.75" customHeight="1">
      <c r="B20" s="20" t="s">
        <v>44</v>
      </c>
      <c r="C20" s="21">
        <f>E20+1000</f>
        <v>26000</v>
      </c>
      <c r="D20" s="21">
        <f>E20+500</f>
        <v>25500</v>
      </c>
      <c r="E20" s="21">
        <v>25000</v>
      </c>
      <c r="F20" s="52">
        <f>C20*1.58/1000</f>
        <v>41.08</v>
      </c>
      <c r="G20" s="35"/>
      <c r="H20" s="20" t="s">
        <v>118</v>
      </c>
      <c r="I20" s="21">
        <f>K20+2000</f>
        <v>32000</v>
      </c>
      <c r="J20" s="21">
        <f>K20+1000</f>
        <v>31000</v>
      </c>
      <c r="K20" s="21">
        <v>30000</v>
      </c>
      <c r="L20" s="52">
        <f>I20*24/1000</f>
        <v>768</v>
      </c>
    </row>
    <row r="21" spans="2:12" s="12" customFormat="1" ht="12.75" customHeight="1">
      <c r="B21" s="20" t="s">
        <v>46</v>
      </c>
      <c r="C21" s="21">
        <f>E21+1000</f>
        <v>27600</v>
      </c>
      <c r="D21" s="21">
        <f>E21+500</f>
        <v>27100</v>
      </c>
      <c r="E21" s="21">
        <v>26600</v>
      </c>
      <c r="F21" s="52">
        <f>C21*2/1000</f>
        <v>55.2</v>
      </c>
      <c r="G21" s="35"/>
      <c r="H21" s="20" t="s">
        <v>119</v>
      </c>
      <c r="I21" s="21">
        <f>K21+2000</f>
        <v>31000</v>
      </c>
      <c r="J21" s="21">
        <f>K21+1000</f>
        <v>30000</v>
      </c>
      <c r="K21" s="21">
        <v>29000</v>
      </c>
      <c r="L21" s="52">
        <f>I21*27.7/1000</f>
        <v>858.7</v>
      </c>
    </row>
    <row r="22" spans="2:12" ht="12.75" customHeight="1">
      <c r="B22" s="20" t="s">
        <v>50</v>
      </c>
      <c r="C22" s="21">
        <f>E22+1000</f>
        <v>25000</v>
      </c>
      <c r="D22" s="21">
        <f>E22+500</f>
        <v>24500</v>
      </c>
      <c r="E22" s="21">
        <v>24000</v>
      </c>
      <c r="F22" s="52">
        <f>C22*2/1000</f>
        <v>50</v>
      </c>
      <c r="G22" s="35"/>
      <c r="H22" s="19" t="s">
        <v>120</v>
      </c>
      <c r="I22" s="19"/>
      <c r="J22" s="19"/>
      <c r="K22" s="19"/>
      <c r="L22" s="19"/>
    </row>
    <row r="23" spans="2:12" ht="12.75" customHeight="1">
      <c r="B23" s="20" t="s">
        <v>54</v>
      </c>
      <c r="C23" s="21">
        <f>E23+1000</f>
        <v>27600</v>
      </c>
      <c r="D23" s="21">
        <f>E23+500</f>
        <v>27100</v>
      </c>
      <c r="E23" s="21">
        <v>26600</v>
      </c>
      <c r="F23" s="52">
        <f>C23*2.47/1000</f>
        <v>68.172</v>
      </c>
      <c r="G23" s="35"/>
      <c r="H23" s="20" t="s">
        <v>121</v>
      </c>
      <c r="I23" s="21">
        <f>K23+1000</f>
        <v>35500</v>
      </c>
      <c r="J23" s="21">
        <f>K23+500</f>
        <v>35000</v>
      </c>
      <c r="K23" s="21">
        <v>34500</v>
      </c>
      <c r="L23" s="52">
        <f>I23*0.841/1000</f>
        <v>29.8555</v>
      </c>
    </row>
    <row r="24" spans="2:12" ht="12.75" customHeight="1">
      <c r="B24" s="20" t="s">
        <v>56</v>
      </c>
      <c r="C24" s="21">
        <f>E24+1000</f>
        <v>25000</v>
      </c>
      <c r="D24" s="21">
        <f>E24+500</f>
        <v>24500</v>
      </c>
      <c r="E24" s="21">
        <v>24000</v>
      </c>
      <c r="F24" s="52">
        <f>C24*2.47/1000</f>
        <v>61.75000000000001</v>
      </c>
      <c r="G24" s="35"/>
      <c r="H24" s="20" t="s">
        <v>122</v>
      </c>
      <c r="I24" s="21">
        <f>K24+1000</f>
        <v>35500</v>
      </c>
      <c r="J24" s="21">
        <f>K24+500</f>
        <v>35000</v>
      </c>
      <c r="K24" s="21">
        <v>34500</v>
      </c>
      <c r="L24" s="52">
        <f>I24*1.6/1000</f>
        <v>56.8</v>
      </c>
    </row>
    <row r="25" spans="2:12" ht="12.75" customHeight="1">
      <c r="B25" s="20" t="s">
        <v>123</v>
      </c>
      <c r="C25" s="21">
        <f>E25+1000</f>
        <v>28000</v>
      </c>
      <c r="D25" s="21">
        <f>E25+500</f>
        <v>27500</v>
      </c>
      <c r="E25" s="21">
        <v>27000</v>
      </c>
      <c r="F25" s="52">
        <f>C25*2.98/1000</f>
        <v>83.44</v>
      </c>
      <c r="G25" s="35"/>
      <c r="H25" s="20" t="s">
        <v>124</v>
      </c>
      <c r="I25" s="21">
        <f>K25+1000</f>
        <v>34000</v>
      </c>
      <c r="J25" s="21">
        <f>K25+500</f>
        <v>33500</v>
      </c>
      <c r="K25" s="21">
        <v>33000</v>
      </c>
      <c r="L25" s="52">
        <f>I25*1.964/1000</f>
        <v>66.776</v>
      </c>
    </row>
    <row r="26" spans="2:12" ht="12.75" customHeight="1">
      <c r="B26" s="20" t="s">
        <v>125</v>
      </c>
      <c r="C26" s="21">
        <f>E26+1000</f>
        <v>28000</v>
      </c>
      <c r="D26" s="21">
        <f>E26+500</f>
        <v>27500</v>
      </c>
      <c r="E26" s="21">
        <v>27000</v>
      </c>
      <c r="F26" s="52">
        <f>C26*3.85/1000</f>
        <v>107.8</v>
      </c>
      <c r="G26" s="35"/>
      <c r="H26" s="20" t="s">
        <v>126</v>
      </c>
      <c r="I26" s="21">
        <f>K26+1000</f>
        <v>34000</v>
      </c>
      <c r="J26" s="21">
        <f>K26+500</f>
        <v>33500</v>
      </c>
      <c r="K26" s="21">
        <v>33000</v>
      </c>
      <c r="L26" s="52">
        <f>I26*2.446/1000</f>
        <v>83.164</v>
      </c>
    </row>
    <row r="27" spans="2:12" ht="12.75" customHeight="1">
      <c r="B27" s="20" t="s">
        <v>63</v>
      </c>
      <c r="C27" s="21">
        <f>E27+1000</f>
        <v>24500</v>
      </c>
      <c r="D27" s="21">
        <f>E27+500</f>
        <v>24000</v>
      </c>
      <c r="E27" s="21">
        <v>23500</v>
      </c>
      <c r="F27" s="52">
        <f>C27*3.85/1000</f>
        <v>94.325</v>
      </c>
      <c r="G27" s="35"/>
      <c r="H27" s="20" t="s">
        <v>127</v>
      </c>
      <c r="I27" s="21">
        <f>K27+1000</f>
        <v>34000</v>
      </c>
      <c r="J27" s="21">
        <f>K27+500</f>
        <v>33500</v>
      </c>
      <c r="K27" s="21">
        <v>33000</v>
      </c>
      <c r="L27" s="52">
        <f>I27*3.1/1000</f>
        <v>105.4</v>
      </c>
    </row>
    <row r="28" spans="2:12" ht="12.75" customHeight="1">
      <c r="B28" s="20" t="s">
        <v>128</v>
      </c>
      <c r="C28" s="21">
        <f>E28+1000</f>
        <v>27800</v>
      </c>
      <c r="D28" s="21">
        <f>E28+500</f>
        <v>27300</v>
      </c>
      <c r="E28" s="21">
        <v>26800</v>
      </c>
      <c r="F28" s="52">
        <f>C28*4.83/1000</f>
        <v>134.274</v>
      </c>
      <c r="G28" s="35"/>
      <c r="H28" s="20" t="s">
        <v>129</v>
      </c>
      <c r="I28" s="21">
        <f>K28+1000</f>
        <v>34000</v>
      </c>
      <c r="J28" s="21">
        <f>K28+500</f>
        <v>33500</v>
      </c>
      <c r="K28" s="21">
        <v>33000</v>
      </c>
      <c r="L28" s="52">
        <f>I28*6.82/1000</f>
        <v>231.88</v>
      </c>
    </row>
    <row r="29" spans="2:12" ht="12.75" customHeight="1">
      <c r="B29" s="20" t="s">
        <v>130</v>
      </c>
      <c r="C29" s="21">
        <f>E29+1000</f>
        <v>25300</v>
      </c>
      <c r="D29" s="21">
        <f>E29+500</f>
        <v>24800</v>
      </c>
      <c r="E29" s="21">
        <v>24300</v>
      </c>
      <c r="F29" s="52">
        <f>C29*4.83/1000</f>
        <v>122.199</v>
      </c>
      <c r="G29" s="35"/>
      <c r="H29" s="20" t="s">
        <v>131</v>
      </c>
      <c r="I29" s="21">
        <f>K29+1000</f>
        <v>34000</v>
      </c>
      <c r="J29" s="21">
        <f>K29+500</f>
        <v>33500</v>
      </c>
      <c r="K29" s="21">
        <v>33000</v>
      </c>
      <c r="L29" s="52">
        <f>I29*9.889/1000</f>
        <v>336.226</v>
      </c>
    </row>
    <row r="30" spans="2:12" ht="12.75" customHeight="1">
      <c r="B30" s="20" t="s">
        <v>132</v>
      </c>
      <c r="C30" s="21">
        <f>E30+1000</f>
        <v>28000</v>
      </c>
      <c r="D30" s="21">
        <f>E30+500</f>
        <v>27500</v>
      </c>
      <c r="E30" s="21">
        <v>27000</v>
      </c>
      <c r="F30" s="52">
        <f>C30*6.31/1000</f>
        <v>176.68</v>
      </c>
      <c r="G30" s="35"/>
      <c r="H30" s="20" t="s">
        <v>133</v>
      </c>
      <c r="I30" s="21">
        <f>K30+1000</f>
        <v>34000</v>
      </c>
      <c r="J30" s="21">
        <f>K30+500</f>
        <v>33500</v>
      </c>
      <c r="K30" s="21">
        <v>33000</v>
      </c>
      <c r="L30" s="52">
        <f>I30*11.833/1000</f>
        <v>402.322</v>
      </c>
    </row>
    <row r="31" spans="2:12" ht="12.75" customHeight="1">
      <c r="B31" s="20" t="s">
        <v>134</v>
      </c>
      <c r="C31" s="21">
        <f>E31+1000</f>
        <v>25300</v>
      </c>
      <c r="D31" s="21">
        <f>E31+500</f>
        <v>24800</v>
      </c>
      <c r="E31" s="21">
        <v>24300</v>
      </c>
      <c r="F31" s="52">
        <f>C31*6.31/1000</f>
        <v>159.643</v>
      </c>
      <c r="G31" s="35"/>
      <c r="H31" s="19" t="s">
        <v>135</v>
      </c>
      <c r="I31" s="19"/>
      <c r="J31" s="19"/>
      <c r="K31" s="19"/>
      <c r="L31" s="19"/>
    </row>
    <row r="32" spans="2:12" ht="12.75" customHeight="1">
      <c r="B32" s="19" t="s">
        <v>136</v>
      </c>
      <c r="C32" s="19"/>
      <c r="D32" s="19"/>
      <c r="E32" s="19"/>
      <c r="F32" s="19"/>
      <c r="G32" s="35"/>
      <c r="H32" s="20" t="s">
        <v>137</v>
      </c>
      <c r="I32" s="21">
        <v>34500</v>
      </c>
      <c r="J32" s="21">
        <f>K32+500</f>
        <v>34000</v>
      </c>
      <c r="K32" s="21">
        <v>33500</v>
      </c>
      <c r="L32" s="52">
        <f>I32*2.057/1000</f>
        <v>70.9665</v>
      </c>
    </row>
    <row r="33" spans="2:12" ht="12.75" customHeight="1">
      <c r="B33" s="53" t="s">
        <v>138</v>
      </c>
      <c r="C33" s="21">
        <v>32000</v>
      </c>
      <c r="D33" s="21">
        <f>E33+1000</f>
        <v>31000</v>
      </c>
      <c r="E33" s="21">
        <v>30000</v>
      </c>
      <c r="F33" s="54">
        <f>C33*0.785/1000</f>
        <v>25.12</v>
      </c>
      <c r="G33" s="35"/>
      <c r="H33" s="20" t="s">
        <v>64</v>
      </c>
      <c r="I33" s="21">
        <v>34000</v>
      </c>
      <c r="J33" s="21">
        <v>33500</v>
      </c>
      <c r="K33" s="21">
        <v>33000</v>
      </c>
      <c r="L33" s="52">
        <f>I33*2.473/1000</f>
        <v>84.082</v>
      </c>
    </row>
    <row r="34" spans="2:12" ht="12.75" customHeight="1">
      <c r="B34" s="53" t="s">
        <v>139</v>
      </c>
      <c r="C34" s="21">
        <v>32000</v>
      </c>
      <c r="D34" s="21">
        <f>E34+1000</f>
        <v>31000</v>
      </c>
      <c r="E34" s="21">
        <v>30000</v>
      </c>
      <c r="F34" s="54">
        <f>C34*1.13/1000</f>
        <v>36.16</v>
      </c>
      <c r="G34" s="35"/>
      <c r="H34" s="20" t="s">
        <v>140</v>
      </c>
      <c r="I34" s="21">
        <v>34000</v>
      </c>
      <c r="J34" s="21">
        <v>33500</v>
      </c>
      <c r="K34" s="21">
        <v>33000</v>
      </c>
      <c r="L34" s="52">
        <f>I34*6.82/1000</f>
        <v>231.88</v>
      </c>
    </row>
    <row r="35" spans="2:12" ht="12.75" customHeight="1">
      <c r="B35" s="53" t="s">
        <v>141</v>
      </c>
      <c r="C35" s="21">
        <v>32000</v>
      </c>
      <c r="D35" s="21">
        <f>E35+1000</f>
        <v>31000</v>
      </c>
      <c r="E35" s="21">
        <v>30000</v>
      </c>
      <c r="F35" s="54">
        <f>C35*1.54/1000</f>
        <v>49.28</v>
      </c>
      <c r="G35" s="35"/>
      <c r="H35" s="19" t="s">
        <v>142</v>
      </c>
      <c r="I35" s="19"/>
      <c r="J35" s="19"/>
      <c r="K35" s="19"/>
      <c r="L35" s="19"/>
    </row>
    <row r="36" spans="2:12" ht="12.75" customHeight="1">
      <c r="B36" s="19" t="s">
        <v>143</v>
      </c>
      <c r="C36" s="19"/>
      <c r="D36" s="19"/>
      <c r="E36" s="19"/>
      <c r="F36" s="19"/>
      <c r="G36" s="35"/>
      <c r="H36" s="20" t="s">
        <v>144</v>
      </c>
      <c r="I36" s="21">
        <f>K36+1000</f>
        <v>33500</v>
      </c>
      <c r="J36" s="21">
        <f>K36+500</f>
        <v>33000</v>
      </c>
      <c r="K36" s="21">
        <v>32500</v>
      </c>
      <c r="L36" s="52">
        <f>I36*1.384/1000</f>
        <v>46.364</v>
      </c>
    </row>
    <row r="37" spans="2:12" ht="12.75" customHeight="1">
      <c r="B37" s="20" t="s">
        <v>145</v>
      </c>
      <c r="C37" s="21">
        <v>30500</v>
      </c>
      <c r="D37" s="16">
        <v>30000</v>
      </c>
      <c r="E37" s="21">
        <v>29500</v>
      </c>
      <c r="F37" s="54">
        <f>C37*0.274/1000</f>
        <v>8.357</v>
      </c>
      <c r="G37" s="35"/>
      <c r="H37" s="20" t="s">
        <v>146</v>
      </c>
      <c r="I37" s="21">
        <f>K37+1000</f>
        <v>33000</v>
      </c>
      <c r="J37" s="21">
        <f>K37+500</f>
        <v>32500</v>
      </c>
      <c r="K37" s="21">
        <v>32000</v>
      </c>
      <c r="L37" s="52">
        <f>I37*1.992/1000</f>
        <v>65.736</v>
      </c>
    </row>
    <row r="38" spans="2:12" ht="12.75" customHeight="1">
      <c r="B38" s="20" t="s">
        <v>147</v>
      </c>
      <c r="C38" s="21">
        <v>30300</v>
      </c>
      <c r="D38" s="16">
        <v>29800</v>
      </c>
      <c r="E38" s="21">
        <v>29300</v>
      </c>
      <c r="F38" s="54">
        <f>C38*0.395/1000</f>
        <v>11.9685</v>
      </c>
      <c r="G38" s="35"/>
      <c r="H38" s="20" t="s">
        <v>148</v>
      </c>
      <c r="I38" s="21">
        <f>K38+1000</f>
        <v>32500</v>
      </c>
      <c r="J38" s="21">
        <f>K38+500</f>
        <v>32000</v>
      </c>
      <c r="K38" s="21">
        <v>31500</v>
      </c>
      <c r="L38" s="52">
        <f>I38*4.07/1000</f>
        <v>132.275</v>
      </c>
    </row>
    <row r="39" spans="2:12" ht="12.75" customHeight="1">
      <c r="B39" s="20" t="s">
        <v>149</v>
      </c>
      <c r="C39" s="21">
        <f>E39+1000</f>
        <v>28500</v>
      </c>
      <c r="D39" s="21">
        <f>E39+500</f>
        <v>28000</v>
      </c>
      <c r="E39" s="21">
        <v>27500</v>
      </c>
      <c r="F39" s="54"/>
      <c r="G39" s="21"/>
      <c r="H39" s="20" t="s">
        <v>150</v>
      </c>
      <c r="I39" s="21">
        <f>K39+1000</f>
        <v>32500</v>
      </c>
      <c r="J39" s="21">
        <f>K39+500</f>
        <v>32000</v>
      </c>
      <c r="K39" s="21">
        <v>31500</v>
      </c>
      <c r="L39" s="52">
        <f>I39*5.222/1000</f>
        <v>169.715</v>
      </c>
    </row>
    <row r="40" spans="2:12" ht="12.75" customHeight="1">
      <c r="B40" s="20" t="s">
        <v>151</v>
      </c>
      <c r="C40" s="21">
        <f>E40+1000</f>
        <v>28500</v>
      </c>
      <c r="D40" s="21">
        <f>E40+500</f>
        <v>28000</v>
      </c>
      <c r="E40" s="21">
        <v>27500</v>
      </c>
      <c r="F40" s="54"/>
      <c r="G40" s="21"/>
      <c r="H40" s="20" t="s">
        <v>152</v>
      </c>
      <c r="I40" s="21">
        <f>K40+1000</f>
        <v>32500</v>
      </c>
      <c r="J40" s="21">
        <f>K40+500</f>
        <v>32000</v>
      </c>
      <c r="K40" s="21">
        <v>31500</v>
      </c>
      <c r="L40" s="52">
        <f>I40*4.943/1000</f>
        <v>160.6475</v>
      </c>
    </row>
    <row r="41" spans="2:12" ht="12.75" customHeight="1">
      <c r="B41" s="20" t="s">
        <v>153</v>
      </c>
      <c r="C41" s="21">
        <f>E41+1000</f>
        <v>29800</v>
      </c>
      <c r="D41" s="21">
        <f>E41+500</f>
        <v>29300</v>
      </c>
      <c r="E41" s="21">
        <v>28800</v>
      </c>
      <c r="F41" s="54">
        <f>C41*0.617/1000</f>
        <v>18.386599999999998</v>
      </c>
      <c r="G41" s="35"/>
      <c r="H41" s="20" t="s">
        <v>154</v>
      </c>
      <c r="I41" s="21">
        <f>K41+1000</f>
        <v>32500</v>
      </c>
      <c r="J41" s="21">
        <f>K41+500</f>
        <v>32000</v>
      </c>
      <c r="K41" s="21">
        <v>31500</v>
      </c>
      <c r="L41" s="52">
        <f>I41*6.636/1000</f>
        <v>215.67</v>
      </c>
    </row>
    <row r="42" spans="2:12" ht="12.75" customHeight="1">
      <c r="B42" s="20" t="s">
        <v>155</v>
      </c>
      <c r="C42" s="21">
        <f>E42+1000</f>
        <v>29800</v>
      </c>
      <c r="D42" s="21">
        <f>E42+500</f>
        <v>29300</v>
      </c>
      <c r="E42" s="21">
        <v>28800</v>
      </c>
      <c r="F42" s="54">
        <f>C42*0.888/1000</f>
        <v>26.462400000000002</v>
      </c>
      <c r="G42" s="35"/>
      <c r="H42" s="20" t="s">
        <v>156</v>
      </c>
      <c r="I42" s="21">
        <f>K42+1000</f>
        <v>32500</v>
      </c>
      <c r="J42" s="21">
        <f>K42+500</f>
        <v>32000</v>
      </c>
      <c r="K42" s="21">
        <v>31500</v>
      </c>
      <c r="L42" s="52">
        <f>I42*7.897/1000</f>
        <v>256.6525</v>
      </c>
    </row>
    <row r="43" spans="2:12" ht="12.75" customHeight="1">
      <c r="B43" s="20" t="s">
        <v>157</v>
      </c>
      <c r="C43" s="21">
        <f>E43+1000</f>
        <v>29300</v>
      </c>
      <c r="D43" s="21">
        <f>E43+500</f>
        <v>28800</v>
      </c>
      <c r="E43" s="21">
        <v>28300</v>
      </c>
      <c r="F43" s="54">
        <f>C43*1.21/1000</f>
        <v>35.453</v>
      </c>
      <c r="G43" s="35"/>
      <c r="H43" s="20" t="s">
        <v>158</v>
      </c>
      <c r="I43" s="21">
        <f>K43+1000</f>
        <v>32500</v>
      </c>
      <c r="J43" s="21">
        <f>K43+500</f>
        <v>32000</v>
      </c>
      <c r="K43" s="21">
        <v>31500</v>
      </c>
      <c r="L43" s="52">
        <f>I43*1.6/1000</f>
        <v>52</v>
      </c>
    </row>
    <row r="44" spans="2:12" ht="12.75" customHeight="1">
      <c r="B44" s="20" t="s">
        <v>159</v>
      </c>
      <c r="C44" s="21">
        <f>E44+1000</f>
        <v>29300</v>
      </c>
      <c r="D44" s="21">
        <f>E44+500</f>
        <v>28800</v>
      </c>
      <c r="E44" s="21">
        <v>28300</v>
      </c>
      <c r="F44" s="54">
        <f>C44*1.58/1000</f>
        <v>46.294</v>
      </c>
      <c r="G44" s="35"/>
      <c r="H44" s="20" t="s">
        <v>80</v>
      </c>
      <c r="I44" s="21">
        <f>K44+1000</f>
        <v>33000</v>
      </c>
      <c r="J44" s="21">
        <f>K44+500</f>
        <v>32500</v>
      </c>
      <c r="K44" s="21">
        <v>32000</v>
      </c>
      <c r="L44" s="52">
        <f>I44*17.493/1000</f>
        <v>577.269</v>
      </c>
    </row>
    <row r="45" spans="2:12" ht="12.75" customHeight="1">
      <c r="B45" s="20" t="s">
        <v>160</v>
      </c>
      <c r="C45" s="21">
        <f>E45+1000</f>
        <v>29300</v>
      </c>
      <c r="D45" s="21">
        <f>E45+500</f>
        <v>28800</v>
      </c>
      <c r="E45" s="21">
        <v>28300</v>
      </c>
      <c r="F45" s="54">
        <f>C45*2/1000</f>
        <v>58.6</v>
      </c>
      <c r="G45" s="35"/>
      <c r="H45" s="20" t="s">
        <v>81</v>
      </c>
      <c r="I45" s="21">
        <f>K45+1000</f>
        <v>34000</v>
      </c>
      <c r="J45" s="21">
        <f>K45+500</f>
        <v>33500</v>
      </c>
      <c r="K45" s="21">
        <v>33000</v>
      </c>
      <c r="L45" s="52">
        <f>I45*32.213/1000</f>
        <v>1095.242</v>
      </c>
    </row>
    <row r="46" spans="2:12" ht="12.75" customHeight="1">
      <c r="B46" s="20" t="s">
        <v>161</v>
      </c>
      <c r="C46" s="21">
        <f>E46+1000</f>
        <v>29300</v>
      </c>
      <c r="D46" s="21">
        <f>E46+500</f>
        <v>28800</v>
      </c>
      <c r="E46" s="21">
        <v>28300</v>
      </c>
      <c r="F46" s="54">
        <f>C46*2.47/1000</f>
        <v>72.371</v>
      </c>
      <c r="G46" s="35"/>
      <c r="H46" s="19" t="s">
        <v>162</v>
      </c>
      <c r="I46" s="19"/>
      <c r="J46" s="19"/>
      <c r="K46" s="19"/>
      <c r="L46" s="19"/>
    </row>
    <row r="47" spans="2:12" ht="12.75" customHeight="1">
      <c r="B47" s="19" t="s">
        <v>163</v>
      </c>
      <c r="C47" s="19"/>
      <c r="D47" s="19"/>
      <c r="E47" s="19"/>
      <c r="F47" s="19"/>
      <c r="G47" s="35"/>
      <c r="H47" s="25" t="s">
        <v>164</v>
      </c>
      <c r="I47" s="21">
        <f>K47+1000</f>
        <v>31500</v>
      </c>
      <c r="J47" s="21">
        <f>K47+500</f>
        <v>31000</v>
      </c>
      <c r="K47" s="21">
        <v>30500</v>
      </c>
      <c r="L47" s="52">
        <f>I47*0.037</f>
        <v>1165.5</v>
      </c>
    </row>
    <row r="48" spans="2:12" ht="12.75" customHeight="1">
      <c r="B48" s="20" t="s">
        <v>165</v>
      </c>
      <c r="C48" s="21">
        <f>E48+1000</f>
        <v>29000</v>
      </c>
      <c r="D48" s="21">
        <f>E48+500</f>
        <v>28500</v>
      </c>
      <c r="E48" s="21">
        <v>28000</v>
      </c>
      <c r="F48" s="54">
        <f>C48*1.46/1000</f>
        <v>42.34</v>
      </c>
      <c r="G48" s="35"/>
      <c r="H48" s="25" t="s">
        <v>166</v>
      </c>
      <c r="I48" s="21">
        <f>K48+1000</f>
        <v>29500</v>
      </c>
      <c r="J48" s="21">
        <f>K48+500</f>
        <v>29000</v>
      </c>
      <c r="K48" s="21">
        <v>28500</v>
      </c>
      <c r="L48" s="52">
        <f>I48*0.05</f>
        <v>1475</v>
      </c>
    </row>
    <row r="49" spans="2:12" ht="12.75" customHeight="1">
      <c r="B49" s="20" t="s">
        <v>167</v>
      </c>
      <c r="C49" s="21">
        <f>E49+1000</f>
        <v>28500</v>
      </c>
      <c r="D49" s="21">
        <f>E49+500</f>
        <v>28000</v>
      </c>
      <c r="E49" s="21">
        <v>27500</v>
      </c>
      <c r="F49" s="54">
        <f>C49*1.46/1000</f>
        <v>41.61</v>
      </c>
      <c r="G49" s="35"/>
      <c r="H49" s="25" t="s">
        <v>168</v>
      </c>
      <c r="I49" s="21">
        <f>K49+1000</f>
        <v>29200</v>
      </c>
      <c r="J49" s="21">
        <f>K49+500</f>
        <v>28700</v>
      </c>
      <c r="K49" s="21">
        <v>28200</v>
      </c>
      <c r="L49" s="52">
        <f>I49*0.075</f>
        <v>2190</v>
      </c>
    </row>
    <row r="50" spans="2:12" ht="12.75" customHeight="1">
      <c r="B50" s="20" t="s">
        <v>169</v>
      </c>
      <c r="C50" s="21">
        <f>E50+1000</f>
        <v>29000</v>
      </c>
      <c r="D50" s="21">
        <f>E50+500</f>
        <v>28500</v>
      </c>
      <c r="E50" s="21">
        <v>28000</v>
      </c>
      <c r="F50" s="54">
        <f>C50*1.91/1000</f>
        <v>55.39000000000001</v>
      </c>
      <c r="G50" s="35"/>
      <c r="H50" s="25" t="s">
        <v>170</v>
      </c>
      <c r="I50" s="21">
        <f>K50+1000</f>
        <v>28200</v>
      </c>
      <c r="J50" s="21">
        <f>K50+500</f>
        <v>27700</v>
      </c>
      <c r="K50" s="21">
        <v>27200</v>
      </c>
      <c r="L50" s="52">
        <f>I50*0.29</f>
        <v>8177.999999999999</v>
      </c>
    </row>
    <row r="51" spans="2:12" ht="12.75" customHeight="1">
      <c r="B51" s="20" t="s">
        <v>171</v>
      </c>
      <c r="C51" s="21">
        <f>E51+1000</f>
        <v>28500</v>
      </c>
      <c r="D51" s="21">
        <f>E51+500</f>
        <v>28000</v>
      </c>
      <c r="E51" s="21">
        <v>27500</v>
      </c>
      <c r="F51" s="54">
        <f>C51*1.91/1000</f>
        <v>54.43500000000001</v>
      </c>
      <c r="G51" s="35"/>
      <c r="H51" s="25" t="s">
        <v>172</v>
      </c>
      <c r="I51" s="21">
        <f>K51+1000</f>
        <v>28200</v>
      </c>
      <c r="J51" s="21">
        <f>K51+500</f>
        <v>27700</v>
      </c>
      <c r="K51" s="21">
        <v>27200</v>
      </c>
      <c r="L51" s="52">
        <f>I51*0.36</f>
        <v>10152</v>
      </c>
    </row>
    <row r="52" spans="2:12" ht="12.75" customHeight="1">
      <c r="B52" s="20" t="s">
        <v>173</v>
      </c>
      <c r="C52" s="21">
        <f>E52+1000</f>
        <v>29000</v>
      </c>
      <c r="D52" s="21">
        <f>E52+500</f>
        <v>28500</v>
      </c>
      <c r="E52" s="21">
        <v>28000</v>
      </c>
      <c r="F52" s="54">
        <f>C52*2.42/1000</f>
        <v>70.18</v>
      </c>
      <c r="G52" s="35"/>
      <c r="H52" s="25" t="s">
        <v>174</v>
      </c>
      <c r="I52" s="21">
        <f>K52+1000</f>
        <v>28100</v>
      </c>
      <c r="J52" s="21">
        <f>K52+500</f>
        <v>27600</v>
      </c>
      <c r="K52" s="21">
        <v>27100</v>
      </c>
      <c r="L52" s="52">
        <f>I52*0.43</f>
        <v>12083</v>
      </c>
    </row>
    <row r="53" spans="2:12" ht="12.75" customHeight="1">
      <c r="B53" s="20" t="s">
        <v>175</v>
      </c>
      <c r="C53" s="21">
        <f>E53+1000</f>
        <v>28500</v>
      </c>
      <c r="D53" s="21">
        <f>E53+500</f>
        <v>28000</v>
      </c>
      <c r="E53" s="21">
        <v>27500</v>
      </c>
      <c r="F53" s="54">
        <f>C53*2.42/1000</f>
        <v>68.97</v>
      </c>
      <c r="G53" s="35"/>
      <c r="H53" s="20" t="s">
        <v>176</v>
      </c>
      <c r="I53" s="21">
        <f>K53+1000</f>
        <v>27500</v>
      </c>
      <c r="J53" s="21">
        <f>K53+500</f>
        <v>27000</v>
      </c>
      <c r="K53" s="21">
        <v>26500</v>
      </c>
      <c r="L53" s="52">
        <f>I53*0.57</f>
        <v>15675.000000000002</v>
      </c>
    </row>
    <row r="54" spans="2:12" ht="12.75" customHeight="1">
      <c r="B54" s="20" t="s">
        <v>177</v>
      </c>
      <c r="C54" s="21">
        <f>E54+1000</f>
        <v>29000</v>
      </c>
      <c r="D54" s="21">
        <f>E54+500</f>
        <v>28500</v>
      </c>
      <c r="E54" s="16">
        <v>28000</v>
      </c>
      <c r="F54" s="54">
        <f>C54*3.77/1000</f>
        <v>109.33</v>
      </c>
      <c r="G54" s="35"/>
      <c r="H54" s="20" t="s">
        <v>178</v>
      </c>
      <c r="I54" s="21">
        <f>K54+1000</f>
        <v>27500</v>
      </c>
      <c r="J54" s="21">
        <f>K54+500</f>
        <v>27000</v>
      </c>
      <c r="K54" s="21">
        <v>26500</v>
      </c>
      <c r="L54" s="52">
        <f>I54*0.71</f>
        <v>19525</v>
      </c>
    </row>
    <row r="55" spans="2:12" ht="12.75" customHeight="1">
      <c r="B55" s="20" t="s">
        <v>179</v>
      </c>
      <c r="C55" s="21">
        <f>E55+1000</f>
        <v>28500</v>
      </c>
      <c r="D55" s="21">
        <f>E55+500</f>
        <v>28000</v>
      </c>
      <c r="E55" s="16">
        <v>27500</v>
      </c>
      <c r="F55" s="54">
        <f>C55*3.77/1000</f>
        <v>107.445</v>
      </c>
      <c r="G55" s="35"/>
      <c r="H55" s="19" t="s">
        <v>92</v>
      </c>
      <c r="I55" s="19"/>
      <c r="J55" s="19"/>
      <c r="K55" s="19"/>
      <c r="L55" s="19"/>
    </row>
    <row r="56" spans="2:12" ht="12.75" customHeight="1">
      <c r="B56" s="20" t="s">
        <v>180</v>
      </c>
      <c r="C56" s="21">
        <f>E56+1000</f>
        <v>29000</v>
      </c>
      <c r="D56" s="21">
        <f>E56+500</f>
        <v>28500</v>
      </c>
      <c r="E56" s="16">
        <v>28000</v>
      </c>
      <c r="F56" s="54">
        <f>C56*5.949/1000</f>
        <v>172.521</v>
      </c>
      <c r="G56" s="35"/>
      <c r="H56" s="20" t="s">
        <v>181</v>
      </c>
      <c r="I56" s="21">
        <f>K56+2000</f>
        <v>35000</v>
      </c>
      <c r="J56" s="21">
        <f>K56+1000</f>
        <v>34000</v>
      </c>
      <c r="K56" s="21">
        <v>33000</v>
      </c>
      <c r="L56" s="52">
        <f>I56*0.63/1000</f>
        <v>22.05</v>
      </c>
    </row>
    <row r="57" spans="2:12" ht="12.75" customHeight="1">
      <c r="B57" s="20" t="s">
        <v>182</v>
      </c>
      <c r="C57" s="21">
        <f>E57+1000</f>
        <v>29000</v>
      </c>
      <c r="D57" s="21">
        <f>E57+500</f>
        <v>28500</v>
      </c>
      <c r="E57" s="16">
        <v>28000</v>
      </c>
      <c r="F57" s="54">
        <f>C57*6.89/1000</f>
        <v>199.81</v>
      </c>
      <c r="G57" s="35"/>
      <c r="H57" s="20" t="s">
        <v>93</v>
      </c>
      <c r="I57" s="21">
        <f>K57+2000</f>
        <v>32000</v>
      </c>
      <c r="J57" s="21">
        <f>K57+1000</f>
        <v>31000</v>
      </c>
      <c r="K57" s="21">
        <v>30000</v>
      </c>
      <c r="L57" s="52">
        <f>I57*1.26/1000</f>
        <v>40.32</v>
      </c>
    </row>
    <row r="58" spans="2:12" ht="12.75" customHeight="1">
      <c r="B58" s="20" t="s">
        <v>183</v>
      </c>
      <c r="C58" s="21">
        <f>E58+1000</f>
        <v>28500</v>
      </c>
      <c r="D58" s="21">
        <f>E58+500</f>
        <v>28000</v>
      </c>
      <c r="E58" s="16">
        <v>27500</v>
      </c>
      <c r="F58" s="54">
        <f>C58*6.89/1000</f>
        <v>196.365</v>
      </c>
      <c r="G58" s="35"/>
      <c r="H58" s="20" t="s">
        <v>184</v>
      </c>
      <c r="I58" s="21">
        <f>K58+2000</f>
        <v>32000</v>
      </c>
      <c r="J58" s="21">
        <f>K58+1000</f>
        <v>31000</v>
      </c>
      <c r="K58" s="21">
        <v>30000</v>
      </c>
      <c r="L58" s="52">
        <f>I58*3.77/1000</f>
        <v>120.64</v>
      </c>
    </row>
    <row r="59" spans="2:12" ht="12.75" customHeight="1">
      <c r="B59" s="20" t="s">
        <v>185</v>
      </c>
      <c r="C59" s="21">
        <f>E59+1000</f>
        <v>29000</v>
      </c>
      <c r="D59" s="21">
        <f>E59+500</f>
        <v>28500</v>
      </c>
      <c r="E59" s="16">
        <v>28000</v>
      </c>
      <c r="F59" s="54">
        <f>C59*10.79/1000</f>
        <v>312.91</v>
      </c>
      <c r="G59" s="35"/>
      <c r="H59" s="19" t="s">
        <v>90</v>
      </c>
      <c r="I59" s="19"/>
      <c r="J59" s="19"/>
      <c r="K59" s="19"/>
      <c r="L59" s="19">
        <f>I59*32.213/1000</f>
        <v>0</v>
      </c>
    </row>
    <row r="60" spans="2:12" ht="12.75" customHeight="1">
      <c r="B60" s="20" t="s">
        <v>186</v>
      </c>
      <c r="C60" s="21">
        <f>E60+1000</f>
        <v>28500</v>
      </c>
      <c r="D60" s="21">
        <f>E60+500</f>
        <v>28000</v>
      </c>
      <c r="E60" s="16">
        <v>27500</v>
      </c>
      <c r="F60" s="54">
        <f>C60*10.79/1000</f>
        <v>307.515</v>
      </c>
      <c r="G60" s="35"/>
      <c r="H60" s="26" t="s">
        <v>91</v>
      </c>
      <c r="I60" s="21">
        <v>40000</v>
      </c>
      <c r="J60" s="21">
        <f>K60+1000</f>
        <v>38500</v>
      </c>
      <c r="K60" s="15">
        <v>37500</v>
      </c>
      <c r="L60" s="52">
        <f>I60*0.081</f>
        <v>3240</v>
      </c>
    </row>
    <row r="61" spans="2:12" ht="12.75" customHeight="1">
      <c r="B61" s="55" t="s">
        <v>187</v>
      </c>
      <c r="F61"/>
      <c r="G61" s="35"/>
      <c r="L61"/>
    </row>
    <row r="62" spans="2:12" ht="12.75" customHeight="1">
      <c r="B62" s="56" t="s">
        <v>188</v>
      </c>
      <c r="C62" s="57"/>
      <c r="D62" s="57"/>
      <c r="E62" s="57"/>
      <c r="F62" s="58"/>
      <c r="G62" s="59"/>
      <c r="H62" s="57"/>
      <c r="I62" s="31"/>
      <c r="J62" s="31"/>
      <c r="K62" s="31"/>
      <c r="L62" s="60"/>
    </row>
    <row r="63" spans="2:12" ht="12.75" customHeight="1">
      <c r="B63" s="55" t="s">
        <v>189</v>
      </c>
      <c r="C63" s="55"/>
      <c r="D63" s="55"/>
      <c r="E63" s="55"/>
      <c r="F63" s="61"/>
      <c r="G63" s="62"/>
      <c r="H63" s="55"/>
      <c r="I63" s="63"/>
      <c r="J63" s="64"/>
      <c r="K63" s="63"/>
      <c r="L63" s="60"/>
    </row>
    <row r="64" spans="2:12" ht="12.75" customHeight="1">
      <c r="B64" s="55" t="s">
        <v>190</v>
      </c>
      <c r="C64" s="55"/>
      <c r="D64" s="55"/>
      <c r="E64" s="55"/>
      <c r="F64" s="61"/>
      <c r="G64" s="62"/>
      <c r="H64" s="55"/>
      <c r="I64" s="63"/>
      <c r="J64" s="64"/>
      <c r="K64" s="63"/>
      <c r="L64" s="60"/>
    </row>
    <row r="65" spans="2:13" ht="18.75" customHeight="1">
      <c r="B65" s="65" t="s">
        <v>191</v>
      </c>
      <c r="C65" s="65"/>
      <c r="D65" s="65"/>
      <c r="E65" s="65"/>
      <c r="F65" s="65"/>
      <c r="G65" s="65"/>
      <c r="H65" s="65"/>
      <c r="I65" s="65"/>
      <c r="J65" s="65"/>
      <c r="K65" s="65"/>
      <c r="L65" s="66"/>
      <c r="M65" s="67"/>
    </row>
    <row r="66" spans="2:13" ht="12.75" customHeight="1">
      <c r="B66" s="68" t="s">
        <v>192</v>
      </c>
      <c r="C66" s="68"/>
      <c r="D66" s="68"/>
      <c r="E66" s="68"/>
      <c r="F66" s="68"/>
      <c r="G66" s="68"/>
      <c r="H66" s="68"/>
      <c r="I66" s="67"/>
      <c r="J66" s="67"/>
      <c r="K66" s="67"/>
      <c r="L66" s="67"/>
      <c r="M66" s="67"/>
    </row>
    <row r="67" spans="6:12" ht="12.75" customHeight="1">
      <c r="F67"/>
      <c r="L67"/>
    </row>
  </sheetData>
  <sheetProtection selectLockedCells="1" selectUnlockedCells="1"/>
  <mergeCells count="22">
    <mergeCell ref="B1:L1"/>
    <mergeCell ref="B8:B9"/>
    <mergeCell ref="C8:F8"/>
    <mergeCell ref="H8:H9"/>
    <mergeCell ref="I8:L8"/>
    <mergeCell ref="C9:C10"/>
    <mergeCell ref="D9:D10"/>
    <mergeCell ref="E9:E10"/>
    <mergeCell ref="I9:I10"/>
    <mergeCell ref="J9:J10"/>
    <mergeCell ref="K9:K10"/>
    <mergeCell ref="B11:F11"/>
    <mergeCell ref="H11:L11"/>
    <mergeCell ref="H22:L22"/>
    <mergeCell ref="H31:L31"/>
    <mergeCell ref="B32:F32"/>
    <mergeCell ref="H35:L35"/>
    <mergeCell ref="B36:F36"/>
    <mergeCell ref="H46:L46"/>
    <mergeCell ref="B47:F47"/>
    <mergeCell ref="H55:L55"/>
    <mergeCell ref="H59:L59"/>
  </mergeCells>
  <printOptions/>
  <pageMargins left="0" right="0" top="0" bottom="0" header="0.5118055555555555" footer="0.5118055555555555"/>
  <pageSetup horizontalDpi="300" verticalDpi="300" orientation="portrait" paperSize="9" scale="9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2011-06-15T07:52:14Z</dcterms:created>
  <dcterms:modified xsi:type="dcterms:W3CDTF">2011-06-20T07:23:19Z</dcterms:modified>
  <cp:category/>
  <cp:version/>
  <cp:contentType/>
  <cp:contentStatus/>
  <cp:revision>3</cp:revision>
</cp:coreProperties>
</file>